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TRATEGIJA SVE\Strategija 2019\"/>
    </mc:Choice>
  </mc:AlternateContent>
  <bookViews>
    <workbookView xWindow="0" yWindow="0" windowWidth="20490" windowHeight="7455" tabRatio="836" activeTab="1"/>
  </bookViews>
  <sheets>
    <sheet name="Upute" sheetId="2" r:id="rId1"/>
    <sheet name="Plan 2019-2021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2019-2021'!$A$2:$Z$5</definedName>
    <definedName name="_xlnm.Print_Area" localSheetId="1">'Plan 2019-2021'!$A$1:$Z$45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" i="1" l="1"/>
  <c r="U42" i="1"/>
  <c r="R42" i="1"/>
  <c r="I42" i="1"/>
  <c r="E42" i="1" s="1"/>
  <c r="M12" i="10" l="1"/>
  <c r="L12" i="10"/>
  <c r="K12" i="10"/>
  <c r="I12" i="10"/>
  <c r="H12" i="10"/>
  <c r="G12" i="10"/>
  <c r="E12" i="10"/>
  <c r="C12" i="10"/>
  <c r="M11" i="10"/>
  <c r="L11" i="10"/>
  <c r="I11" i="10"/>
  <c r="H11" i="10"/>
  <c r="G11" i="10"/>
  <c r="C11" i="10"/>
  <c r="M10" i="10"/>
  <c r="L10" i="10"/>
  <c r="K10" i="10"/>
  <c r="I10" i="10"/>
  <c r="H10" i="10"/>
  <c r="G10" i="10"/>
  <c r="E10" i="10"/>
  <c r="C10" i="10"/>
  <c r="M9" i="10"/>
  <c r="L9" i="10"/>
  <c r="K9" i="10"/>
  <c r="I9" i="10"/>
  <c r="H9" i="10"/>
  <c r="G9" i="10"/>
  <c r="E9" i="10"/>
  <c r="C9" i="10"/>
  <c r="M8" i="10"/>
  <c r="L8" i="10"/>
  <c r="K8" i="10"/>
  <c r="I8" i="10"/>
  <c r="H8" i="10"/>
  <c r="G8" i="10"/>
  <c r="C8" i="10"/>
  <c r="M7" i="10"/>
  <c r="L7" i="10"/>
  <c r="K7" i="10"/>
  <c r="I7" i="10"/>
  <c r="H7" i="10"/>
  <c r="G7" i="10"/>
  <c r="E7" i="10"/>
  <c r="C7" i="10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C9" i="8"/>
  <c r="U8" i="8"/>
  <c r="S8" i="8"/>
  <c r="R8" i="8"/>
  <c r="E14" i="5" s="1"/>
  <c r="P8" i="8"/>
  <c r="O8" i="8"/>
  <c r="N8" i="8"/>
  <c r="M8" i="8"/>
  <c r="L8" i="8"/>
  <c r="K8" i="8"/>
  <c r="J8" i="8"/>
  <c r="I8" i="8"/>
  <c r="G8" i="8"/>
  <c r="F8" i="8"/>
  <c r="D14" i="5" s="1"/>
  <c r="E8" i="8"/>
  <c r="D7" i="5" s="1"/>
  <c r="C8" i="8"/>
  <c r="U7" i="8"/>
  <c r="S7" i="8"/>
  <c r="E20" i="5" s="1"/>
  <c r="R7" i="8"/>
  <c r="P7" i="8"/>
  <c r="O7" i="8"/>
  <c r="N7" i="8"/>
  <c r="M7" i="8"/>
  <c r="L7" i="8"/>
  <c r="K7" i="8"/>
  <c r="J7" i="8"/>
  <c r="I7" i="8"/>
  <c r="G7" i="8"/>
  <c r="D20" i="5" s="1"/>
  <c r="F7" i="8"/>
  <c r="E7" i="8"/>
  <c r="D6" i="5" s="1"/>
  <c r="C7" i="8"/>
  <c r="T44" i="1"/>
  <c r="S44" i="1"/>
  <c r="Q44" i="1"/>
  <c r="P44" i="1"/>
  <c r="O44" i="1"/>
  <c r="N44" i="1"/>
  <c r="M44" i="1"/>
  <c r="L44" i="1"/>
  <c r="K44" i="1"/>
  <c r="J44" i="1"/>
  <c r="H44" i="1"/>
  <c r="G44" i="1"/>
  <c r="F44" i="1"/>
  <c r="D44" i="1"/>
  <c r="U43" i="1"/>
  <c r="R43" i="1"/>
  <c r="I43" i="1"/>
  <c r="E43" i="1" s="1"/>
  <c r="R41" i="1"/>
  <c r="U41" i="1" s="1"/>
  <c r="I41" i="1"/>
  <c r="U40" i="1"/>
  <c r="R40" i="1"/>
  <c r="I40" i="1"/>
  <c r="U39" i="1"/>
  <c r="R39" i="1"/>
  <c r="I39" i="1"/>
  <c r="R38" i="1"/>
  <c r="U38" i="1" s="1"/>
  <c r="I38" i="1"/>
  <c r="U37" i="1"/>
  <c r="R37" i="1"/>
  <c r="I37" i="1"/>
  <c r="U36" i="1"/>
  <c r="R36" i="1"/>
  <c r="I36" i="1"/>
  <c r="U35" i="1"/>
  <c r="R35" i="1"/>
  <c r="I35" i="1"/>
  <c r="R34" i="1"/>
  <c r="U34" i="1" s="1"/>
  <c r="I34" i="1"/>
  <c r="R33" i="1"/>
  <c r="U33" i="1" s="1"/>
  <c r="I33" i="1"/>
  <c r="R32" i="1"/>
  <c r="U32" i="1" s="1"/>
  <c r="I32" i="1"/>
  <c r="R31" i="1"/>
  <c r="U31" i="1" s="1"/>
  <c r="I31" i="1"/>
  <c r="R30" i="1"/>
  <c r="U30" i="1" s="1"/>
  <c r="I30" i="1"/>
  <c r="R29" i="1"/>
  <c r="U29" i="1" s="1"/>
  <c r="I29" i="1"/>
  <c r="R28" i="1"/>
  <c r="U28" i="1" s="1"/>
  <c r="I28" i="1"/>
  <c r="R27" i="1"/>
  <c r="U27" i="1" s="1"/>
  <c r="I27" i="1"/>
  <c r="R26" i="1"/>
  <c r="U26" i="1" s="1"/>
  <c r="I26" i="1"/>
  <c r="R25" i="1"/>
  <c r="U25" i="1" s="1"/>
  <c r="I25" i="1"/>
  <c r="R24" i="1"/>
  <c r="U24" i="1" s="1"/>
  <c r="I24" i="1"/>
  <c r="U23" i="1"/>
  <c r="R23" i="1"/>
  <c r="I23" i="1"/>
  <c r="R22" i="1"/>
  <c r="U22" i="1" s="1"/>
  <c r="I22" i="1"/>
  <c r="R21" i="1"/>
  <c r="U21" i="1" s="1"/>
  <c r="I21" i="1"/>
  <c r="U20" i="1"/>
  <c r="R20" i="1"/>
  <c r="I20" i="1"/>
  <c r="R19" i="1"/>
  <c r="U19" i="1" s="1"/>
  <c r="I19" i="1"/>
  <c r="R18" i="1"/>
  <c r="U18" i="1" s="1"/>
  <c r="I18" i="1"/>
  <c r="U17" i="1"/>
  <c r="R17" i="1"/>
  <c r="I17" i="1"/>
  <c r="R16" i="1"/>
  <c r="U16" i="1" s="1"/>
  <c r="I16" i="1"/>
  <c r="R15" i="1"/>
  <c r="U15" i="1" s="1"/>
  <c r="I15" i="1"/>
  <c r="R14" i="1"/>
  <c r="U14" i="1" s="1"/>
  <c r="I14" i="1"/>
  <c r="R13" i="1"/>
  <c r="U13" i="1" s="1"/>
  <c r="I13" i="1"/>
  <c r="R12" i="1"/>
  <c r="U12" i="1" s="1"/>
  <c r="I12" i="1"/>
  <c r="R11" i="1"/>
  <c r="U11" i="1" s="1"/>
  <c r="I11" i="1"/>
  <c r="R10" i="1"/>
  <c r="U10" i="1" s="1"/>
  <c r="I10" i="1"/>
  <c r="U9" i="1"/>
  <c r="R9" i="1"/>
  <c r="Q9" i="8" s="1"/>
  <c r="E8" i="5" s="1"/>
  <c r="I9" i="1"/>
  <c r="R8" i="1"/>
  <c r="U8" i="1" s="1"/>
  <c r="I8" i="1"/>
  <c r="Q7" i="8"/>
  <c r="E6" i="5" s="1"/>
  <c r="I7" i="1"/>
  <c r="H9" i="8" l="1"/>
  <c r="T8" i="8"/>
  <c r="J10" i="10"/>
  <c r="T9" i="8"/>
  <c r="L13" i="10"/>
  <c r="J9" i="10"/>
  <c r="J8" i="10"/>
  <c r="C10" i="8"/>
  <c r="C8" i="5"/>
  <c r="Q8" i="8"/>
  <c r="E7" i="5" s="1"/>
  <c r="C7" i="5" s="1"/>
  <c r="C15" i="5"/>
  <c r="N10" i="8"/>
  <c r="M10" i="8"/>
  <c r="J10" i="8"/>
  <c r="U7" i="1"/>
  <c r="T7" i="8" s="1"/>
  <c r="I13" i="10"/>
  <c r="C14" i="5"/>
  <c r="I10" i="8"/>
  <c r="C22" i="5"/>
  <c r="H13" i="10"/>
  <c r="M13" i="10"/>
  <c r="E7" i="1"/>
  <c r="E11" i="1"/>
  <c r="E15" i="1"/>
  <c r="E19" i="1"/>
  <c r="E23" i="1"/>
  <c r="E27" i="1"/>
  <c r="E31" i="1"/>
  <c r="E35" i="1"/>
  <c r="E39" i="1"/>
  <c r="K10" i="8"/>
  <c r="O10" i="8"/>
  <c r="K11" i="10"/>
  <c r="N11" i="10" s="1"/>
  <c r="N12" i="10"/>
  <c r="E10" i="1"/>
  <c r="E14" i="1"/>
  <c r="E18" i="1"/>
  <c r="E22" i="1"/>
  <c r="E26" i="1"/>
  <c r="E30" i="1"/>
  <c r="E34" i="1"/>
  <c r="E38" i="1"/>
  <c r="U10" i="8"/>
  <c r="N8" i="10"/>
  <c r="N9" i="10"/>
  <c r="N10" i="10"/>
  <c r="J11" i="10"/>
  <c r="J12" i="10"/>
  <c r="D13" i="5"/>
  <c r="F10" i="8"/>
  <c r="I44" i="1"/>
  <c r="E9" i="1"/>
  <c r="E13" i="1"/>
  <c r="E21" i="1"/>
  <c r="E29" i="1"/>
  <c r="H7" i="8"/>
  <c r="P10" i="8"/>
  <c r="E10" i="8"/>
  <c r="N7" i="10"/>
  <c r="E21" i="5"/>
  <c r="E23" i="5" s="1"/>
  <c r="S10" i="8"/>
  <c r="C13" i="10"/>
  <c r="D10" i="10" s="1"/>
  <c r="E17" i="1"/>
  <c r="E25" i="1"/>
  <c r="E33" i="1"/>
  <c r="E37" i="1"/>
  <c r="E41" i="1"/>
  <c r="L10" i="8"/>
  <c r="G10" i="8"/>
  <c r="D21" i="5"/>
  <c r="E8" i="1"/>
  <c r="H8" i="8"/>
  <c r="E12" i="1"/>
  <c r="E16" i="1"/>
  <c r="E20" i="1"/>
  <c r="E24" i="1"/>
  <c r="E28" i="1"/>
  <c r="E32" i="1"/>
  <c r="E36" i="1"/>
  <c r="E40" i="1"/>
  <c r="E13" i="5"/>
  <c r="E16" i="5" s="1"/>
  <c r="R10" i="8"/>
  <c r="D9" i="5"/>
  <c r="J7" i="10"/>
  <c r="G13" i="10"/>
  <c r="R44" i="1"/>
  <c r="C6" i="5"/>
  <c r="C20" i="5"/>
  <c r="E11" i="10" l="1"/>
  <c r="D8" i="8"/>
  <c r="E8" i="10"/>
  <c r="T10" i="8"/>
  <c r="D9" i="8"/>
  <c r="J13" i="10"/>
  <c r="D8" i="10"/>
  <c r="Q10" i="8"/>
  <c r="E9" i="5"/>
  <c r="E25" i="5" s="1"/>
  <c r="D12" i="10"/>
  <c r="U44" i="1"/>
  <c r="D7" i="8"/>
  <c r="C9" i="5"/>
  <c r="D9" i="10"/>
  <c r="D7" i="10"/>
  <c r="C21" i="5"/>
  <c r="C23" i="5" s="1"/>
  <c r="D11" i="10"/>
  <c r="K13" i="10"/>
  <c r="N13" i="10" s="1"/>
  <c r="H10" i="8"/>
  <c r="D16" i="5"/>
  <c r="C13" i="5"/>
  <c r="C16" i="5" s="1"/>
  <c r="E44" i="1"/>
  <c r="D23" i="5"/>
  <c r="E13" i="10" l="1"/>
  <c r="F11" i="10" s="1"/>
  <c r="D25" i="5"/>
  <c r="D10" i="8"/>
  <c r="D13" i="10"/>
  <c r="C25" i="5"/>
  <c r="F12" i="10" l="1"/>
  <c r="F9" i="10"/>
  <c r="F10" i="10"/>
  <c r="F8" i="10"/>
  <c r="F7" i="10"/>
  <c r="F13" i="10" l="1"/>
</calcChain>
</file>

<file path=xl/sharedStrings.xml><?xml version="1.0" encoding="utf-8"?>
<sst xmlns="http://schemas.openxmlformats.org/spreadsheetml/2006/main" count="343" uniqueCount="183">
  <si>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</si>
  <si>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</si>
  <si>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</si>
  <si>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</si>
  <si>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</si>
  <si>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</si>
  <si>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</si>
  <si>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</si>
  <si>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</si>
  <si>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</si>
  <si>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</si>
  <si>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</si>
  <si>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</si>
  <si>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</si>
  <si>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</si>
  <si>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</si>
  <si>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</si>
  <si>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</si>
  <si>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</si>
  <si>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</si>
  <si>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</si>
  <si>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</si>
  <si>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</si>
  <si>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</si>
  <si>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</si>
  <si>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</si>
  <si>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</si>
  <si>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</si>
  <si>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</si>
  <si>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</si>
  <si>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</si>
  <si>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</si>
  <si>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</si>
  <si>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</si>
  <si>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</si>
  <si>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</si>
  <si>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</si>
  <si>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</si>
  <si>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</si>
  <si>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</si>
  <si>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</si>
  <si>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</si>
  <si>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</si>
  <si>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</si>
  <si>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</si>
  <si>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</si>
  <si>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</si>
  <si>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</si>
  <si>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</si>
  <si>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</si>
  <si>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</si>
  <si>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</si>
  <si>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</si>
  <si>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</si>
  <si>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</si>
  <si>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</si>
  <si>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</si>
  <si>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</si>
  <si>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</si>
  <si>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</si>
  <si>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</si>
  <si>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</si>
  <si>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</si>
  <si>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</si>
  <si>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</si>
  <si>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</si>
  <si>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</si>
  <si>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</si>
  <si>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</si>
  <si>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</si>
  <si>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</si>
  <si>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</si>
  <si>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</si>
  <si>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</si>
  <si>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</si>
  <si>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</si>
  <si>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</si>
  <si>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</si>
  <si>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</si>
  <si>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</si>
  <si>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SC1 SEC 1.1.</t>
  </si>
  <si>
    <t>1.1.1. Uređenje i promocija poslovne zone Matuzići (2019-2021)</t>
  </si>
  <si>
    <t>Najmanje 1 investitor iskazao interes za poslovnu zonu.</t>
  </si>
  <si>
    <t>Općina Doboj Jug</t>
  </si>
  <si>
    <t>Služba za budžet, finansije i privredu</t>
  </si>
  <si>
    <t>2019 (E)</t>
  </si>
  <si>
    <t>1.1.2. Uređenje i promocija poslovne zone Mravići (2019-2021)</t>
  </si>
  <si>
    <t>Najmnaje 5 investitora iskazalo interes za poslovnu zonu.</t>
  </si>
  <si>
    <t>1.1.3. Uređenje poslovne zone Karuše</t>
  </si>
  <si>
    <t>Unapređena putna infrastruktura u poslovnoj zoni Karuše, asfaltirano cca.1000m putne saobraćajnice.</t>
  </si>
  <si>
    <t>270.00</t>
  </si>
  <si>
    <t>2020 (B)</t>
  </si>
  <si>
    <t>1.1.4. Poslovne prilike za mlade (2019-2021)</t>
  </si>
  <si>
    <t xml:space="preserve">Pokrenuto do 5 novih startupa </t>
  </si>
  <si>
    <t>Općina Doboj Jug, Udruženje mladih Odraz</t>
  </si>
  <si>
    <t>2019 (B)</t>
  </si>
  <si>
    <t>1.1.5. Izrada Regulacionog plana Matuzići 1</t>
  </si>
  <si>
    <t>Izrađen Regulacioni plan Matuzići 1</t>
  </si>
  <si>
    <t>Služba za urbanizam, katastar i geodetske poslove</t>
  </si>
  <si>
    <t>1.1.6. Izrada Regulacionog plana Matuzići 2</t>
  </si>
  <si>
    <t>Izrađen regulacioni plan Matuzići 2</t>
  </si>
  <si>
    <t>1.1.7. Izrada Regulacionog plana Mravići: Industrijsko-poslovna zona</t>
  </si>
  <si>
    <t>Izrađen Regulacioni plan Mravići: Industrijsko-poslovna zona</t>
  </si>
  <si>
    <t>SC1 SEC 1.2.</t>
  </si>
  <si>
    <t xml:space="preserve">1.2.1. Razvoj primarne poljoprivredne proizvodnje </t>
  </si>
  <si>
    <t>Do 50 poljoprivrednih proizvođača unaprijedilo proizvodnju</t>
  </si>
  <si>
    <t>SC2 SC2.1.</t>
  </si>
  <si>
    <t>2.1.1. Asfaltiranje lokalnih puteva i ulica</t>
  </si>
  <si>
    <t>Asfaltirano 10% preostalih neasfaltiranih lokalnih puteva i ulica</t>
  </si>
  <si>
    <t>2020 (E)</t>
  </si>
  <si>
    <t>2.1.3. Uključivanje mladih u javne poslove i razvoj lokalne zajednice: Omladinska banka</t>
  </si>
  <si>
    <t>Mladi inicijatroi najmanje 3 implementirana projekta</t>
  </si>
  <si>
    <t>Stručna služba OV-a i ON</t>
  </si>
  <si>
    <t>2019 (C)</t>
  </si>
  <si>
    <t>2.1.4. Organizovanje zajedničkih kulturno-sportskih manifestacija i drugih tradcionalnih obilježavanja</t>
  </si>
  <si>
    <t>Održano 10 manifestacija iz navedenih oblasti</t>
  </si>
  <si>
    <t>Služba za CZ, OU i ZP</t>
  </si>
  <si>
    <t>SC2 SC2.2.</t>
  </si>
  <si>
    <t>2.2.1. Ispitivanje geotermalnih voda</t>
  </si>
  <si>
    <t>Urađene dvije bušotine na području općine za istraživanje geotermalnih voda do 2021.</t>
  </si>
  <si>
    <t>Općina Doboj Jug, JKP Vis</t>
  </si>
  <si>
    <t>Ministarstvo privrede ZDK, budzet</t>
  </si>
  <si>
    <t>2.2.2. Rekonstrukcija sale OV-a</t>
  </si>
  <si>
    <t>Rekonstruisana sala OV-a</t>
  </si>
  <si>
    <t>Općina Doboj Jug, MZ Matuzići</t>
  </si>
  <si>
    <t>2.2.3. Rekonstrukcija i opremanje objekta u vlasništvu Općine na Karušama</t>
  </si>
  <si>
    <t>Objekat priveden namjeni</t>
  </si>
  <si>
    <t>100.00</t>
  </si>
  <si>
    <t>2019 (D)</t>
  </si>
  <si>
    <t>2.2.4. Izgradnja zgrade biblioteke i skladišta CZ-e</t>
  </si>
  <si>
    <t>Izgrađena zgrada za smještaj biblioteke i skladišta CZ-e</t>
  </si>
  <si>
    <t>Općina Doboj Jug, JU Biblioteka</t>
  </si>
  <si>
    <t>SC3 SC3.1.</t>
  </si>
  <si>
    <t>Izgrađena 22 km primarne kanalizacione mreže</t>
  </si>
  <si>
    <t>3.1.1. Izgradnja primarne kanalizacione mreže</t>
  </si>
  <si>
    <t>3.1.2. Izgradnja sekundarne kanalizacione mreže</t>
  </si>
  <si>
    <t>3.1.3. Otkup zemljišta za izgradnju uređaja za prečišćavanje otpadnih voda</t>
  </si>
  <si>
    <t>Izgrađeno 10km sekundarne kanalizacione mreže</t>
  </si>
  <si>
    <t>Kupljeno zemljište za izgradnju UPOV</t>
  </si>
  <si>
    <t>3.1.4. Izgradnja UPOV</t>
  </si>
  <si>
    <t>Izgrađen UPOV na području općine</t>
  </si>
  <si>
    <t>EIB, budžet:</t>
  </si>
  <si>
    <t>2020 (D)</t>
  </si>
  <si>
    <t>3.1.5. Izgradnja odbrambenog nasipa na rijeci Usori</t>
  </si>
  <si>
    <t>Unapređenja zaštita od poplava uzrokovana izlivanjem rijeke Usore</t>
  </si>
  <si>
    <t>Agencija za slivove rijeke Save</t>
  </si>
  <si>
    <t>3.1.6. Razvrstvanje otpada</t>
  </si>
  <si>
    <t>Izgrađena sortirnica za razvrstvanje otpada</t>
  </si>
  <si>
    <t>Izgrađeni zasuni šahtovi na Karušama kao oblik zaštite od plavljenja</t>
  </si>
  <si>
    <t>Uprava CZ-e ZDK</t>
  </si>
  <si>
    <t>3.1.7. Izrada zasuna i šahtova na Karušama</t>
  </si>
  <si>
    <t>3.1.8. Zbrinjavanje klizišta</t>
  </si>
  <si>
    <t xml:space="preserve">Zbrinuta postojeća i sanirana potencijalna ugrožena područja od klizišta </t>
  </si>
  <si>
    <t>SC# SC3.2.</t>
  </si>
  <si>
    <t>3.2.1. Energetska efikasnost javnih ustanova</t>
  </si>
  <si>
    <t>Najmanje 2 javne ustanove privedene u stanje energetski efikasnih objekata do 2021.</t>
  </si>
  <si>
    <t xml:space="preserve">Općina Doboj Jug, javne ustanove, </t>
  </si>
  <si>
    <t>Doboj Jug</t>
  </si>
  <si>
    <t>Opština/Općina :</t>
  </si>
  <si>
    <t>Rekonsturisana javna rasvjeta i privedena u stanje energetske efikasnosti</t>
  </si>
  <si>
    <t>2.1.2. Izgradnja javne rasvjete i prilagođavanje u LED (JPP)</t>
  </si>
  <si>
    <t>MPVŠ ZDK, budžet:614414</t>
  </si>
  <si>
    <t>Ministarstvo privrede ZDK, Ambasada Švicarske, budžet:614327</t>
  </si>
  <si>
    <t>Ministarstvo privrede ZDK,</t>
  </si>
  <si>
    <t>FMRPO, budžet:821611</t>
  </si>
  <si>
    <t>Ministarstvo privrede ZDK, budžet:821611</t>
  </si>
  <si>
    <t>Vlada FBiH, budžet:821612</t>
  </si>
  <si>
    <t>Privatni partner, budžet: 821221</t>
  </si>
  <si>
    <t>Mozaik, budžet: 821619</t>
  </si>
  <si>
    <t>Ministarstvo prostornog uređenja FBiH, budžet:821515</t>
  </si>
  <si>
    <t>Ministarsvo prostornog uređenja FBiH, budžet:821515</t>
  </si>
  <si>
    <t>Sincan, budzet:614121, 614122</t>
  </si>
  <si>
    <t>Vlada R.Češke, budžet:821211</t>
  </si>
  <si>
    <t>Vlada ZDK, budžet:821211</t>
  </si>
  <si>
    <t>Vlada ZDK, Uprava CZ ZDK, budžet:821211</t>
  </si>
  <si>
    <t>Ministarstvo raseljenih osoba i izbjeglica ZDK, budžet:821618,</t>
  </si>
  <si>
    <t>EiB, Fond za zaštitu okoliša FBiH, budžet:821618, 823212</t>
  </si>
  <si>
    <t>budžet: 821111</t>
  </si>
  <si>
    <t>Fond za zaštitu okoliša FBiH,</t>
  </si>
  <si>
    <t>Općina Doboj Jug, JKP Vis, budžet: 821618</t>
  </si>
  <si>
    <t>Uprava CZ-e ZDK, budžet:821611</t>
  </si>
  <si>
    <t>Vlada Japana, Vlada ZDK, budžet:821619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</si>
  <si>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2019-2021 (finaliziran:19.02.2019.)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</si>
</sst>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6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0" fillId="8" borderId="1" xfId="0" applyNumberFormat="1" applyFont="1" applyFill="1" applyBorder="1" applyAlignment="1">
      <alignment horizontal="right" vertical="center" wrapText="1"/>
    </xf>
    <xf numFmtId="3" fontId="31" fillId="8" borderId="1" xfId="0" applyNumberFormat="1" applyFont="1" applyFill="1" applyBorder="1" applyAlignment="1">
      <alignment horizontal="right" vertical="center" wrapText="1"/>
    </xf>
    <xf numFmtId="164" fontId="32" fillId="2" borderId="1" xfId="1" applyNumberFormat="1" applyFont="1" applyFill="1" applyBorder="1" applyAlignment="1">
      <alignment horizontal="right" vertical="center"/>
    </xf>
    <xf numFmtId="3" fontId="30" fillId="6" borderId="1" xfId="0" applyNumberFormat="1" applyFont="1" applyFill="1" applyBorder="1" applyAlignment="1">
      <alignment horizontal="right" vertical="center" wrapText="1"/>
    </xf>
    <xf numFmtId="0" fontId="33" fillId="3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5" fillId="3" borderId="1" xfId="3" applyNumberFormat="1" applyFont="1" applyFill="1" applyBorder="1" applyAlignment="1">
      <alignment horizontal="right" wrapText="1"/>
    </xf>
    <xf numFmtId="164" fontId="35" fillId="6" borderId="1" xfId="3" applyNumberFormat="1" applyFont="1" applyFill="1" applyBorder="1" applyAlignment="1">
      <alignment horizontal="right" wrapText="1"/>
    </xf>
    <xf numFmtId="3" fontId="36" fillId="6" borderId="1" xfId="0" applyNumberFormat="1" applyFont="1" applyFill="1" applyBorder="1" applyAlignment="1">
      <alignment horizontal="right" vertical="center" wrapText="1"/>
    </xf>
    <xf numFmtId="164" fontId="37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8" fillId="0" borderId="0" xfId="2" applyFont="1" applyAlignment="1">
      <alignment horizontal="left" vertical="center"/>
    </xf>
    <xf numFmtId="0" fontId="39" fillId="0" borderId="7" xfId="0" applyFont="1" applyBorder="1" applyAlignment="1">
      <alignment vertical="center"/>
    </xf>
    <xf numFmtId="164" fontId="42" fillId="6" borderId="5" xfId="3" applyNumberFormat="1" applyFont="1" applyFill="1" applyBorder="1" applyAlignment="1">
      <alignment horizontal="left" wrapText="1"/>
    </xf>
    <xf numFmtId="0" fontId="41" fillId="10" borderId="2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7" fillId="0" borderId="0" xfId="0" applyFont="1" applyAlignment="1">
      <alignment horizontal="centerContinuous" vertical="center"/>
    </xf>
    <xf numFmtId="0" fontId="47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49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3" fontId="52" fillId="0" borderId="1" xfId="0" applyNumberFormat="1" applyFont="1" applyBorder="1" applyAlignment="1">
      <alignment vertical="top" wrapText="1"/>
    </xf>
    <xf numFmtId="0" fontId="52" fillId="0" borderId="1" xfId="0" applyFont="1" applyBorder="1" applyAlignment="1">
      <alignment horizontal="center" vertical="center" textRotation="90"/>
    </xf>
    <xf numFmtId="3" fontId="54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Border="1" applyAlignment="1">
      <alignment vertical="top" wrapText="1"/>
    </xf>
    <xf numFmtId="3" fontId="54" fillId="0" borderId="1" xfId="0" applyNumberFormat="1" applyFont="1" applyFill="1" applyBorder="1" applyAlignment="1">
      <alignment horizontal="justify" vertical="top" wrapText="1"/>
    </xf>
    <xf numFmtId="3" fontId="54" fillId="0" borderId="1" xfId="0" applyNumberFormat="1" applyFont="1" applyFill="1" applyBorder="1" applyAlignment="1">
      <alignment vertical="top" wrapText="1"/>
    </xf>
    <xf numFmtId="0" fontId="55" fillId="0" borderId="1" xfId="0" applyFont="1" applyFill="1" applyBorder="1" applyAlignment="1">
      <alignment vertical="top" wrapText="1"/>
    </xf>
    <xf numFmtId="3" fontId="55" fillId="0" borderId="1" xfId="0" applyNumberFormat="1" applyFont="1" applyBorder="1" applyAlignment="1">
      <alignment vertical="top" wrapText="1"/>
    </xf>
    <xf numFmtId="0" fontId="52" fillId="0" borderId="0" xfId="0" applyFont="1" applyFill="1" applyAlignment="1">
      <alignment vertical="top" wrapText="1"/>
    </xf>
    <xf numFmtId="3" fontId="51" fillId="0" borderId="1" xfId="0" applyNumberFormat="1" applyFont="1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3" fontId="51" fillId="3" borderId="1" xfId="0" applyNumberFormat="1" applyFont="1" applyFill="1" applyBorder="1" applyAlignment="1">
      <alignment horizontal="left" vertical="top" wrapText="1"/>
    </xf>
    <xf numFmtId="3" fontId="51" fillId="3" borderId="1" xfId="0" applyNumberFormat="1" applyFont="1" applyFill="1" applyBorder="1" applyAlignment="1">
      <alignment horizontal="left" vertical="center" wrapText="1"/>
    </xf>
    <xf numFmtId="3" fontId="51" fillId="3" borderId="1" xfId="0" applyNumberFormat="1" applyFont="1" applyFill="1" applyBorder="1" applyAlignment="1">
      <alignment horizontal="justify" vertical="top" wrapText="1"/>
    </xf>
    <xf numFmtId="0" fontId="37" fillId="10" borderId="1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164" fontId="2" fillId="0" borderId="1" xfId="1" applyNumberFormat="1" applyFont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 wrapText="1"/>
    </xf>
    <xf numFmtId="3" fontId="30" fillId="6" borderId="1" xfId="0" applyNumberFormat="1" applyFont="1" applyFill="1" applyBorder="1" applyAlignment="1">
      <alignment horizontal="right" vertical="center" wrapText="1"/>
    </xf>
    <xf numFmtId="3" fontId="36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7" fillId="3" borderId="1" xfId="0" applyFont="1" applyFill="1" applyBorder="1" applyAlignment="1">
      <alignment horizontal="center" vertical="center"/>
    </xf>
    <xf numFmtId="164" fontId="58" fillId="3" borderId="1" xfId="3" applyNumberFormat="1" applyFont="1" applyFill="1" applyBorder="1" applyAlignment="1">
      <alignment vertical="top" wrapText="1"/>
    </xf>
    <xf numFmtId="164" fontId="58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52" fillId="0" borderId="1" xfId="0" applyFont="1" applyFill="1" applyBorder="1" applyAlignment="1">
      <alignment horizontal="center" vertical="top" wrapText="1"/>
    </xf>
    <xf numFmtId="0" fontId="60" fillId="0" borderId="0" xfId="0" applyFont="1" applyAlignment="1">
      <alignment horizontal="center" vertical="center" wrapText="1"/>
    </xf>
    <xf numFmtId="0" fontId="46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3" fillId="0" borderId="0" xfId="2" applyFont="1" applyAlignment="1">
      <alignment horizontal="left" wrapText="1"/>
    </xf>
    <xf numFmtId="0" fontId="50" fillId="0" borderId="0" xfId="2" applyFont="1" applyAlignment="1">
      <alignment horizontal="left" wrapText="1"/>
    </xf>
    <xf numFmtId="0" fontId="41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845"/>
          <c:y val="0.21513338342713395"/>
          <c:w val="0.40789544145616363"/>
          <c:h val="0.5584059751329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753143</c:v>
                </c:pt>
                <c:pt idx="1">
                  <c:v>1524445.8599999999</c:v>
                </c:pt>
                <c:pt idx="2">
                  <c:v>2775341.99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5888976"/>
        <c:axId val="1965884624"/>
      </c:barChart>
      <c:catAx>
        <c:axId val="196588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5884624"/>
        <c:crosses val="autoZero"/>
        <c:auto val="1"/>
        <c:lblAlgn val="ctr"/>
        <c:lblOffset val="100"/>
        <c:noMultiLvlLbl val="0"/>
      </c:catAx>
      <c:valAx>
        <c:axId val="196588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5888976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84"/>
          <c:w val="0.46363278912399686"/>
          <c:h val="0.663256305915362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280000</c:v>
                </c:pt>
                <c:pt idx="2">
                  <c:v>160000</c:v>
                </c:pt>
                <c:pt idx="3">
                  <c:v>250000</c:v>
                </c:pt>
                <c:pt idx="4">
                  <c:v>290000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170000</c:v>
                </c:pt>
                <c:pt idx="2">
                  <c:v>160000</c:v>
                </c:pt>
                <c:pt idx="3">
                  <c:v>200000</c:v>
                </c:pt>
                <c:pt idx="4">
                  <c:v>542500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200000</c:v>
                </c:pt>
                <c:pt idx="2">
                  <c:v>185000</c:v>
                </c:pt>
                <c:pt idx="3">
                  <c:v>150000</c:v>
                </c:pt>
                <c:pt idx="4">
                  <c:v>1480757.8499999999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69302848"/>
        <c:axId val="67899168"/>
      </c:barChart>
      <c:catAx>
        <c:axId val="69302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7899168"/>
        <c:crosses val="autoZero"/>
        <c:auto val="1"/>
        <c:lblAlgn val="ctr"/>
        <c:lblOffset val="100"/>
        <c:noMultiLvlLbl val="1"/>
      </c:catAx>
      <c:valAx>
        <c:axId val="6789916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284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1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45000</c:v>
                </c:pt>
                <c:pt idx="2">
                  <c:v>20000</c:v>
                </c:pt>
                <c:pt idx="3">
                  <c:v>60000</c:v>
                </c:pt>
                <c:pt idx="4">
                  <c:v>57000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40000</c:v>
                </c:pt>
                <c:pt idx="2">
                  <c:v>20000</c:v>
                </c:pt>
                <c:pt idx="3">
                  <c:v>60000</c:v>
                </c:pt>
                <c:pt idx="4">
                  <c:v>97000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357000</c:v>
                </c:pt>
                <c:pt idx="2">
                  <c:v>31000</c:v>
                </c:pt>
                <c:pt idx="3">
                  <c:v>15000</c:v>
                </c:pt>
                <c:pt idx="4">
                  <c:v>182673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67901344"/>
        <c:axId val="67891552"/>
      </c:barChart>
      <c:catAx>
        <c:axId val="67901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7891552"/>
        <c:crosses val="autoZero"/>
        <c:auto val="1"/>
        <c:lblAlgn val="ctr"/>
        <c:lblOffset val="100"/>
        <c:noMultiLvlLbl val="0"/>
      </c:catAx>
      <c:valAx>
        <c:axId val="67891552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790134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55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83"/>
          <c:w val="0.49720236099939352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8</c:v>
                </c:pt>
                <c:pt idx="4" formatCode="_(* #,##0_);_(* \(#,##0\);_(* &quot;-&quot;_);_(@_)">
                  <c:v>8</c:v>
                </c:pt>
                <c:pt idx="5" formatCode="_(* #,##0_);_(* \(#,##0\);_(* &quot;-&quot;_);_(@_)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965878096"/>
        <c:axId val="1965878640"/>
      </c:barChart>
      <c:catAx>
        <c:axId val="196587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5878640"/>
        <c:crosses val="autoZero"/>
        <c:auto val="1"/>
        <c:lblAlgn val="ctr"/>
        <c:lblOffset val="100"/>
        <c:noMultiLvlLbl val="0"/>
      </c:catAx>
      <c:valAx>
        <c:axId val="196587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587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89997"/>
          <c:y val="0.26533292887799537"/>
          <c:w val="0.55966370142954602"/>
          <c:h val="0.51610449664470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247073</c:v>
                </c:pt>
                <c:pt idx="1">
                  <c:v>306800</c:v>
                </c:pt>
                <c:pt idx="2">
                  <c:v>430800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04480"/>
        <c:axId val="69297952"/>
      </c:barChart>
      <c:catAx>
        <c:axId val="6930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7952"/>
        <c:crosses val="autoZero"/>
        <c:auto val="1"/>
        <c:lblAlgn val="ctr"/>
        <c:lblOffset val="100"/>
        <c:noMultiLvlLbl val="0"/>
      </c:catAx>
      <c:valAx>
        <c:axId val="6929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4480"/>
        <c:crosses val="autoZero"/>
        <c:crossBetween val="between"/>
        <c:dispUnits>
          <c:custUnit val="1000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4"/>
          <c:y val="0.27268490806552642"/>
          <c:w val="0.51896207667040783"/>
          <c:h val="0.5078347166750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506070</c:v>
                </c:pt>
                <c:pt idx="1">
                  <c:v>1217645.8599999999</c:v>
                </c:pt>
                <c:pt idx="2">
                  <c:v>2344541.9900000002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305024"/>
        <c:axId val="69298496"/>
      </c:barChart>
      <c:catAx>
        <c:axId val="6930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8496"/>
        <c:crosses val="autoZero"/>
        <c:auto val="1"/>
        <c:lblAlgn val="ctr"/>
        <c:lblOffset val="100"/>
        <c:noMultiLvlLbl val="0"/>
      </c:catAx>
      <c:valAx>
        <c:axId val="6929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5024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593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147073</c:v>
                </c:pt>
                <c:pt idx="1">
                  <c:v>132800</c:v>
                </c:pt>
                <c:pt idx="2">
                  <c:v>305800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223570</c:v>
                </c:pt>
                <c:pt idx="1">
                  <c:v>607645.86</c:v>
                </c:pt>
                <c:pt idx="2">
                  <c:v>1184541.99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69295776"/>
        <c:axId val="69308832"/>
      </c:barChart>
      <c:catAx>
        <c:axId val="6929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8832"/>
        <c:crosses val="autoZero"/>
        <c:auto val="1"/>
        <c:lblAlgn val="ctr"/>
        <c:lblOffset val="100"/>
        <c:noMultiLvlLbl val="0"/>
      </c:catAx>
      <c:valAx>
        <c:axId val="69308832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5776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791"/>
          <c:y val="0.39401631552812688"/>
          <c:w val="0.25040050996401642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78"/>
          <c:y val="1.6463273935915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04"/>
          <c:y val="0.27023679417122026"/>
          <c:w val="0.33848075021601537"/>
          <c:h val="0.48556567632072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65000</c:v>
                </c:pt>
                <c:pt idx="1">
                  <c:v>87000</c:v>
                </c:pt>
                <c:pt idx="2">
                  <c:v>65000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182500</c:v>
                </c:pt>
                <c:pt idx="1">
                  <c:v>280000</c:v>
                </c:pt>
                <c:pt idx="2">
                  <c:v>610000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69301760"/>
        <c:axId val="69306112"/>
      </c:barChart>
      <c:catAx>
        <c:axId val="6930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6112"/>
        <c:crosses val="autoZero"/>
        <c:auto val="1"/>
        <c:lblAlgn val="ctr"/>
        <c:lblOffset val="100"/>
        <c:noMultiLvlLbl val="0"/>
      </c:catAx>
      <c:valAx>
        <c:axId val="69306112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1760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"/>
          <c:y val="0.3928580238945556"/>
          <c:w val="0.24533843008702999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4"/>
          <c:w val="0.35418830624895364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35000</c:v>
                </c:pt>
                <c:pt idx="1">
                  <c:v>87000</c:v>
                </c:pt>
                <c:pt idx="2">
                  <c:v>60000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100000</c:v>
                </c:pt>
                <c:pt idx="1">
                  <c:v>330000</c:v>
                </c:pt>
                <c:pt idx="2">
                  <c:v>550000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69299584"/>
        <c:axId val="69300128"/>
      </c:barChart>
      <c:catAx>
        <c:axId val="6929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0128"/>
        <c:crosses val="autoZero"/>
        <c:auto val="1"/>
        <c:lblAlgn val="ctr"/>
        <c:lblOffset val="100"/>
        <c:noMultiLvlLbl val="0"/>
      </c:catAx>
      <c:valAx>
        <c:axId val="69300128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9584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38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86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0.12</c:v>
                </c:pt>
                <c:pt idx="3">
                  <c:v>0.08</c:v>
                </c:pt>
                <c:pt idx="4">
                  <c:v>0.4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69293600"/>
        <c:axId val="69300672"/>
      </c:barChart>
      <c:catAx>
        <c:axId val="69293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300672"/>
        <c:crossesAt val="0"/>
        <c:auto val="1"/>
        <c:lblAlgn val="ctr"/>
        <c:lblOffset val="100"/>
        <c:noMultiLvlLbl val="0"/>
      </c:catAx>
      <c:valAx>
        <c:axId val="69300672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59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0.21611219951684082</c:v>
                </c:pt>
                <c:pt idx="2">
                  <c:v>0.11399324809679516</c:v>
                </c:pt>
                <c:pt idx="3">
                  <c:v>0.14546013429018131</c:v>
                </c:pt>
                <c:pt idx="4">
                  <c:v>0.52443441809618274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69294688"/>
        <c:axId val="69296864"/>
      </c:barChart>
      <c:catAx>
        <c:axId val="69294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6864"/>
        <c:crossesAt val="0"/>
        <c:auto val="1"/>
        <c:lblAlgn val="ctr"/>
        <c:lblOffset val="100"/>
        <c:noMultiLvlLbl val="0"/>
      </c:catAx>
      <c:valAx>
        <c:axId val="69296864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2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37" t="s">
        <v>39</v>
      </c>
    </row>
    <row r="3" spans="1:1" x14ac:dyDescent="0.25">
      <c r="A3" s="38" t="s">
        <v>40</v>
      </c>
    </row>
    <row r="4" spans="1:1" ht="88.15" customHeight="1" x14ac:dyDescent="0.25">
      <c r="A4" s="39" t="s">
        <v>77</v>
      </c>
    </row>
    <row r="5" spans="1:1" ht="62.45" customHeight="1" x14ac:dyDescent="0.25">
      <c r="A5" s="40" t="s">
        <v>41</v>
      </c>
    </row>
    <row r="6" spans="1:1" ht="28.15" customHeight="1" x14ac:dyDescent="0.25">
      <c r="A6" s="67" t="s">
        <v>38</v>
      </c>
    </row>
    <row r="7" spans="1:1" x14ac:dyDescent="0.25">
      <c r="A7" s="66" t="s">
        <v>67</v>
      </c>
    </row>
    <row r="8" spans="1:1" ht="59.45" customHeight="1" x14ac:dyDescent="0.25">
      <c r="A8" s="40" t="s">
        <v>56</v>
      </c>
    </row>
    <row r="9" spans="1:1" ht="66.599999999999994" customHeight="1" x14ac:dyDescent="0.25">
      <c r="A9" s="41" t="s">
        <v>57</v>
      </c>
    </row>
    <row r="10" spans="1:1" x14ac:dyDescent="0.25">
      <c r="A10" s="66" t="s">
        <v>66</v>
      </c>
    </row>
    <row r="11" spans="1:1" ht="31.5" x14ac:dyDescent="0.25">
      <c r="A11" s="77" t="s">
        <v>65</v>
      </c>
    </row>
  </sheetData>
  <sheetProtection algorithmName="SHA-512" hashValue="sC2Cp2B51b0Rrsf12r7IakFEQR3Th3LIc7UamnXOkPOxZBO1l0xl6N+6GFLmr5/ySvXwcTa79AyxplPD7O8iVg==" saltValue="00uJqiAzXQJuqkSZDnUM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B159"/>
  <sheetViews>
    <sheetView tabSelected="1" topLeftCell="A46" zoomScale="90" zoomScaleNormal="90" workbookViewId="0">
      <selection activeCell="F44" sqref="F44"/>
    </sheetView>
  </sheetViews>
  <sheetFormatPr defaultColWidth="9.140625" defaultRowHeight="12" outlineLevelCol="1" x14ac:dyDescent="0.2"/>
  <cols>
    <col min="1" max="1" width="8.42578125" style="4" customWidth="1"/>
    <col min="2" max="2" width="19" style="1" customWidth="1"/>
    <col min="3" max="3" width="20.7109375" style="3" customWidth="1"/>
    <col min="4" max="4" width="13.85546875" style="3" customWidth="1"/>
    <col min="5" max="5" width="16.7109375" style="1" customWidth="1"/>
    <col min="6" max="6" width="14" style="2" customWidth="1"/>
    <col min="7" max="7" width="14.85546875" style="1" customWidth="1"/>
    <col min="8" max="8" width="13.85546875" style="1" customWidth="1"/>
    <col min="9" max="9" width="13.85546875" style="2" customWidth="1"/>
    <col min="10" max="10" width="14.7109375" style="1" customWidth="1" outlineLevel="1"/>
    <col min="11" max="11" width="14.85546875" style="1" customWidth="1" outlineLevel="1"/>
    <col min="12" max="12" width="14.28515625" style="1" customWidth="1" outlineLevel="1"/>
    <col min="13" max="13" width="14.85546875" style="1" customWidth="1" outlineLevel="1"/>
    <col min="14" max="14" width="13.42578125" style="1" customWidth="1" outlineLevel="1"/>
    <col min="15" max="15" width="15.28515625" style="1" customWidth="1" outlineLevel="1"/>
    <col min="16" max="16" width="14" style="1" customWidth="1" outlineLevel="1"/>
    <col min="17" max="17" width="13.7109375" style="1" customWidth="1" outlineLevel="1"/>
    <col min="18" max="18" width="13.85546875" style="1" customWidth="1"/>
    <col min="19" max="20" width="10.42578125" style="1" customWidth="1"/>
    <col min="21" max="21" width="14.5703125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54" ht="34.9" customHeight="1" x14ac:dyDescent="0.2">
      <c r="A1" s="68" t="s">
        <v>158</v>
      </c>
      <c r="B1" s="35"/>
      <c r="C1" s="35" t="s">
        <v>157</v>
      </c>
      <c r="D1" s="119" t="s">
        <v>182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54" ht="21.6" customHeight="1" x14ac:dyDescent="0.2">
      <c r="A2" s="113" t="s">
        <v>46</v>
      </c>
      <c r="B2" s="114" t="s">
        <v>44</v>
      </c>
      <c r="C2" s="115" t="s">
        <v>45</v>
      </c>
      <c r="D2" s="116" t="s">
        <v>7</v>
      </c>
      <c r="E2" s="109" t="s">
        <v>8</v>
      </c>
      <c r="F2" s="117" t="s">
        <v>35</v>
      </c>
      <c r="G2" s="117"/>
      <c r="H2" s="117"/>
      <c r="I2" s="117"/>
      <c r="J2" s="110" t="s">
        <v>0</v>
      </c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07" t="s">
        <v>9</v>
      </c>
      <c r="W2" s="107" t="s">
        <v>78</v>
      </c>
      <c r="X2" s="107" t="s">
        <v>79</v>
      </c>
      <c r="Y2" s="108" t="s">
        <v>47</v>
      </c>
      <c r="Z2" s="108" t="s">
        <v>10</v>
      </c>
    </row>
    <row r="3" spans="1:54" ht="19.149999999999999" customHeight="1" x14ac:dyDescent="0.2">
      <c r="A3" s="113"/>
      <c r="B3" s="114"/>
      <c r="C3" s="115"/>
      <c r="D3" s="116"/>
      <c r="E3" s="109"/>
      <c r="F3" s="118" t="s">
        <v>18</v>
      </c>
      <c r="G3" s="118"/>
      <c r="H3" s="118"/>
      <c r="I3" s="118"/>
      <c r="J3" s="109" t="s">
        <v>43</v>
      </c>
      <c r="K3" s="109"/>
      <c r="L3" s="109"/>
      <c r="M3" s="109"/>
      <c r="N3" s="109"/>
      <c r="O3" s="109"/>
      <c r="P3" s="109"/>
      <c r="Q3" s="109"/>
      <c r="R3" s="109" t="s">
        <v>29</v>
      </c>
      <c r="S3" s="109"/>
      <c r="T3" s="109"/>
      <c r="U3" s="109"/>
      <c r="V3" s="107"/>
      <c r="W3" s="107"/>
      <c r="X3" s="107"/>
      <c r="Y3" s="108"/>
      <c r="Z3" s="108"/>
    </row>
    <row r="4" spans="1:54" ht="17.45" customHeight="1" x14ac:dyDescent="0.2">
      <c r="A4" s="113"/>
      <c r="B4" s="114"/>
      <c r="C4" s="115"/>
      <c r="D4" s="116"/>
      <c r="E4" s="109"/>
      <c r="F4" s="112" t="s">
        <v>1</v>
      </c>
      <c r="G4" s="112" t="s">
        <v>2</v>
      </c>
      <c r="H4" s="112" t="s">
        <v>3</v>
      </c>
      <c r="I4" s="112" t="s">
        <v>4</v>
      </c>
      <c r="J4" s="106" t="s">
        <v>5</v>
      </c>
      <c r="K4" s="106" t="s">
        <v>23</v>
      </c>
      <c r="L4" s="106" t="s">
        <v>24</v>
      </c>
      <c r="M4" s="106" t="s">
        <v>25</v>
      </c>
      <c r="N4" s="106" t="s">
        <v>26</v>
      </c>
      <c r="O4" s="106" t="s">
        <v>27</v>
      </c>
      <c r="P4" s="106" t="s">
        <v>28</v>
      </c>
      <c r="Q4" s="106" t="s">
        <v>6</v>
      </c>
      <c r="R4" s="120" t="s">
        <v>1</v>
      </c>
      <c r="S4" s="120" t="s">
        <v>2</v>
      </c>
      <c r="T4" s="120" t="s">
        <v>3</v>
      </c>
      <c r="U4" s="120" t="s">
        <v>4</v>
      </c>
      <c r="V4" s="107"/>
      <c r="W4" s="107"/>
      <c r="X4" s="107"/>
      <c r="Y4" s="108"/>
      <c r="Z4" s="108"/>
    </row>
    <row r="5" spans="1:54" ht="26.25" customHeight="1" x14ac:dyDescent="0.2">
      <c r="A5" s="113"/>
      <c r="B5" s="114"/>
      <c r="C5" s="115"/>
      <c r="D5" s="116"/>
      <c r="E5" s="109"/>
      <c r="F5" s="112"/>
      <c r="G5" s="112"/>
      <c r="H5" s="112"/>
      <c r="I5" s="112"/>
      <c r="J5" s="106"/>
      <c r="K5" s="106"/>
      <c r="L5" s="106"/>
      <c r="M5" s="106"/>
      <c r="N5" s="106"/>
      <c r="O5" s="106"/>
      <c r="P5" s="106"/>
      <c r="Q5" s="106"/>
      <c r="R5" s="120"/>
      <c r="S5" s="120"/>
      <c r="T5" s="120"/>
      <c r="U5" s="120"/>
      <c r="V5" s="107"/>
      <c r="W5" s="107"/>
      <c r="X5" s="107"/>
      <c r="Y5" s="108"/>
      <c r="Z5" s="108"/>
    </row>
    <row r="6" spans="1:54" s="26" customFormat="1" ht="16.149999999999999" customHeight="1" x14ac:dyDescent="0.2">
      <c r="A6" s="27">
        <v>1</v>
      </c>
      <c r="B6" s="27">
        <v>2</v>
      </c>
      <c r="C6" s="27">
        <v>3</v>
      </c>
      <c r="D6" s="27">
        <v>4</v>
      </c>
      <c r="E6" s="27" t="s">
        <v>30</v>
      </c>
      <c r="F6" s="27">
        <v>6</v>
      </c>
      <c r="G6" s="27">
        <v>7</v>
      </c>
      <c r="H6" s="27">
        <v>8</v>
      </c>
      <c r="I6" s="27" t="s">
        <v>31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42</v>
      </c>
      <c r="S6" s="27">
        <v>19</v>
      </c>
      <c r="T6" s="27">
        <v>20</v>
      </c>
      <c r="U6" s="27" t="s">
        <v>32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65.25" customHeight="1" x14ac:dyDescent="0.2">
      <c r="A7" s="69" t="s">
        <v>80</v>
      </c>
      <c r="B7" s="71" t="s">
        <v>81</v>
      </c>
      <c r="C7" s="70" t="s">
        <v>82</v>
      </c>
      <c r="D7" s="74">
        <v>130000</v>
      </c>
      <c r="E7" s="76">
        <f>SUM(I7+U7)</f>
        <v>130000</v>
      </c>
      <c r="F7" s="74">
        <v>0</v>
      </c>
      <c r="G7" s="74">
        <v>10000</v>
      </c>
      <c r="H7" s="74">
        <v>0</v>
      </c>
      <c r="I7" s="75">
        <f t="shared" ref="I7:I43" si="0">SUM(F7:H7)</f>
        <v>10000</v>
      </c>
      <c r="J7" s="74">
        <v>0</v>
      </c>
      <c r="K7" s="74">
        <v>67500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5">
        <f t="shared" ref="R7:R42" si="1">SUM(J7:Q7)</f>
        <v>67500</v>
      </c>
      <c r="S7" s="74">
        <v>52500</v>
      </c>
      <c r="T7" s="74">
        <v>0</v>
      </c>
      <c r="U7" s="75">
        <f t="shared" ref="U7:U42" si="2">SUM(R7:T7)</f>
        <v>120000</v>
      </c>
      <c r="V7" s="72" t="s">
        <v>83</v>
      </c>
      <c r="W7" s="72" t="s">
        <v>165</v>
      </c>
      <c r="X7" s="72" t="s">
        <v>84</v>
      </c>
      <c r="Y7" s="73" t="s">
        <v>85</v>
      </c>
      <c r="Z7" s="78" t="s">
        <v>11</v>
      </c>
    </row>
    <row r="8" spans="1:54" s="96" customFormat="1" ht="60.75" customHeight="1" x14ac:dyDescent="0.2">
      <c r="A8" s="93" t="s">
        <v>80</v>
      </c>
      <c r="B8" s="63" t="s">
        <v>86</v>
      </c>
      <c r="C8" s="54" t="s">
        <v>87</v>
      </c>
      <c r="D8" s="74" t="s">
        <v>90</v>
      </c>
      <c r="E8" s="76">
        <f t="shared" ref="E8:E42" si="3">SUM(I8+U8)</f>
        <v>269143</v>
      </c>
      <c r="F8" s="74">
        <v>44073</v>
      </c>
      <c r="G8" s="74">
        <v>30000</v>
      </c>
      <c r="H8" s="74">
        <v>0</v>
      </c>
      <c r="I8" s="75">
        <f t="shared" si="0"/>
        <v>74073</v>
      </c>
      <c r="J8" s="74">
        <v>0</v>
      </c>
      <c r="K8" s="74">
        <v>95070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5">
        <f t="shared" si="1"/>
        <v>95070</v>
      </c>
      <c r="S8" s="74">
        <v>100000</v>
      </c>
      <c r="T8" s="74">
        <v>0</v>
      </c>
      <c r="U8" s="75">
        <f t="shared" si="2"/>
        <v>195070</v>
      </c>
      <c r="V8" s="52" t="s">
        <v>83</v>
      </c>
      <c r="W8" s="55" t="s">
        <v>164</v>
      </c>
      <c r="X8" s="52" t="s">
        <v>84</v>
      </c>
      <c r="Y8" s="94" t="s">
        <v>85</v>
      </c>
      <c r="Z8" s="95" t="s">
        <v>11</v>
      </c>
    </row>
    <row r="9" spans="1:54" ht="62.25" customHeight="1" x14ac:dyDescent="0.2">
      <c r="A9" s="53" t="s">
        <v>80</v>
      </c>
      <c r="B9" s="63" t="s">
        <v>88</v>
      </c>
      <c r="C9" s="54" t="s">
        <v>89</v>
      </c>
      <c r="D9" s="74">
        <v>100000</v>
      </c>
      <c r="E9" s="76">
        <f t="shared" si="3"/>
        <v>80000</v>
      </c>
      <c r="F9" s="74">
        <v>0</v>
      </c>
      <c r="G9" s="74">
        <v>0</v>
      </c>
      <c r="H9" s="74">
        <v>10000</v>
      </c>
      <c r="I9" s="75">
        <f t="shared" si="0"/>
        <v>10000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5">
        <f t="shared" si="1"/>
        <v>0</v>
      </c>
      <c r="S9" s="74">
        <v>0</v>
      </c>
      <c r="T9" s="74">
        <v>70000</v>
      </c>
      <c r="U9" s="75">
        <f t="shared" si="2"/>
        <v>70000</v>
      </c>
      <c r="V9" s="52" t="s">
        <v>83</v>
      </c>
      <c r="W9" s="55" t="s">
        <v>163</v>
      </c>
      <c r="X9" s="52" t="s">
        <v>84</v>
      </c>
      <c r="Y9" s="73" t="s">
        <v>91</v>
      </c>
      <c r="Z9" s="78" t="s">
        <v>11</v>
      </c>
    </row>
    <row r="10" spans="1:54" ht="59.25" customHeight="1" x14ac:dyDescent="0.2">
      <c r="A10" s="53" t="s">
        <v>80</v>
      </c>
      <c r="B10" s="63" t="s">
        <v>92</v>
      </c>
      <c r="C10" s="54" t="s">
        <v>93</v>
      </c>
      <c r="D10" s="74">
        <v>200000</v>
      </c>
      <c r="E10" s="76">
        <f>SUM(I10+U10)</f>
        <v>75000</v>
      </c>
      <c r="F10" s="74">
        <v>5000</v>
      </c>
      <c r="G10" s="74">
        <v>5000</v>
      </c>
      <c r="H10" s="74">
        <v>5000</v>
      </c>
      <c r="I10" s="75">
        <f t="shared" si="0"/>
        <v>15000</v>
      </c>
      <c r="J10" s="74">
        <v>0</v>
      </c>
      <c r="K10" s="74">
        <v>10000</v>
      </c>
      <c r="L10" s="74">
        <v>0</v>
      </c>
      <c r="M10" s="74">
        <v>0</v>
      </c>
      <c r="N10" s="74">
        <v>0</v>
      </c>
      <c r="O10" s="74">
        <v>0</v>
      </c>
      <c r="P10" s="74">
        <v>10000</v>
      </c>
      <c r="Q10" s="74">
        <v>0</v>
      </c>
      <c r="R10" s="75">
        <f t="shared" si="1"/>
        <v>20000</v>
      </c>
      <c r="S10" s="74">
        <v>20000</v>
      </c>
      <c r="T10" s="74">
        <v>20000</v>
      </c>
      <c r="U10" s="75">
        <f t="shared" si="2"/>
        <v>60000</v>
      </c>
      <c r="V10" s="52" t="s">
        <v>94</v>
      </c>
      <c r="W10" s="55" t="s">
        <v>162</v>
      </c>
      <c r="X10" s="52" t="s">
        <v>84</v>
      </c>
      <c r="Y10" s="73" t="s">
        <v>95</v>
      </c>
      <c r="Z10" s="78" t="s">
        <v>11</v>
      </c>
    </row>
    <row r="11" spans="1:54" ht="51.75" customHeight="1" x14ac:dyDescent="0.2">
      <c r="A11" s="53" t="s">
        <v>80</v>
      </c>
      <c r="B11" s="63" t="s">
        <v>96</v>
      </c>
      <c r="C11" s="54" t="s">
        <v>97</v>
      </c>
      <c r="D11" s="74">
        <v>50000</v>
      </c>
      <c r="E11" s="76">
        <f t="shared" si="3"/>
        <v>36000</v>
      </c>
      <c r="F11" s="74">
        <v>26000</v>
      </c>
      <c r="G11" s="74">
        <v>0</v>
      </c>
      <c r="H11" s="74">
        <v>0</v>
      </c>
      <c r="I11" s="75">
        <f t="shared" si="0"/>
        <v>26000</v>
      </c>
      <c r="J11" s="74">
        <v>0</v>
      </c>
      <c r="K11" s="74">
        <v>10000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5">
        <f t="shared" si="1"/>
        <v>10000</v>
      </c>
      <c r="S11" s="74">
        <v>0</v>
      </c>
      <c r="T11" s="74">
        <v>0</v>
      </c>
      <c r="U11" s="75">
        <f t="shared" si="2"/>
        <v>10000</v>
      </c>
      <c r="V11" s="52" t="s">
        <v>83</v>
      </c>
      <c r="W11" s="55" t="s">
        <v>170</v>
      </c>
      <c r="X11" s="52" t="s">
        <v>98</v>
      </c>
      <c r="Y11" s="73" t="s">
        <v>95</v>
      </c>
      <c r="Z11" s="78" t="s">
        <v>11</v>
      </c>
      <c r="AZ11" s="2"/>
      <c r="BA11" s="2"/>
      <c r="BB11" s="2"/>
    </row>
    <row r="12" spans="1:54" ht="36" customHeight="1" x14ac:dyDescent="0.2">
      <c r="A12" s="53" t="s">
        <v>80</v>
      </c>
      <c r="B12" s="63" t="s">
        <v>99</v>
      </c>
      <c r="C12" s="54" t="s">
        <v>100</v>
      </c>
      <c r="D12" s="74">
        <v>30000</v>
      </c>
      <c r="E12" s="76">
        <f t="shared" si="3"/>
        <v>36000</v>
      </c>
      <c r="F12" s="74">
        <v>26000</v>
      </c>
      <c r="G12" s="74">
        <v>0</v>
      </c>
      <c r="H12" s="74">
        <v>0</v>
      </c>
      <c r="I12" s="75">
        <f t="shared" si="0"/>
        <v>26000</v>
      </c>
      <c r="J12" s="74">
        <v>0</v>
      </c>
      <c r="K12" s="74">
        <v>10000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5">
        <f t="shared" si="1"/>
        <v>10000</v>
      </c>
      <c r="S12" s="74">
        <v>0</v>
      </c>
      <c r="T12" s="74">
        <v>0</v>
      </c>
      <c r="U12" s="75">
        <f t="shared" si="2"/>
        <v>10000</v>
      </c>
      <c r="V12" s="52" t="s">
        <v>83</v>
      </c>
      <c r="W12" s="55" t="s">
        <v>169</v>
      </c>
      <c r="X12" s="52" t="s">
        <v>98</v>
      </c>
      <c r="Y12" s="73" t="s">
        <v>95</v>
      </c>
      <c r="Z12" s="78" t="s">
        <v>11</v>
      </c>
      <c r="AZ12" s="2"/>
      <c r="BA12" s="2"/>
      <c r="BB12" s="2"/>
    </row>
    <row r="13" spans="1:54" ht="39" customHeight="1" x14ac:dyDescent="0.2">
      <c r="A13" s="53" t="s">
        <v>80</v>
      </c>
      <c r="B13" s="63" t="s">
        <v>101</v>
      </c>
      <c r="C13" s="54" t="s">
        <v>102</v>
      </c>
      <c r="D13" s="74">
        <v>50000</v>
      </c>
      <c r="E13" s="76">
        <f t="shared" si="3"/>
        <v>36000</v>
      </c>
      <c r="F13" s="74">
        <v>26000</v>
      </c>
      <c r="G13" s="74">
        <v>0</v>
      </c>
      <c r="H13" s="74">
        <v>0</v>
      </c>
      <c r="I13" s="75">
        <f t="shared" si="0"/>
        <v>26000</v>
      </c>
      <c r="J13" s="74">
        <v>0</v>
      </c>
      <c r="K13" s="74">
        <v>10000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5">
        <f t="shared" si="1"/>
        <v>10000</v>
      </c>
      <c r="S13" s="74">
        <v>0</v>
      </c>
      <c r="T13" s="74">
        <v>0</v>
      </c>
      <c r="U13" s="75">
        <f t="shared" si="2"/>
        <v>10000</v>
      </c>
      <c r="V13" s="52" t="s">
        <v>83</v>
      </c>
      <c r="W13" s="55" t="s">
        <v>169</v>
      </c>
      <c r="X13" s="52" t="s">
        <v>98</v>
      </c>
      <c r="Y13" s="73" t="s">
        <v>91</v>
      </c>
      <c r="Z13" s="78" t="s">
        <v>11</v>
      </c>
      <c r="AZ13" s="2"/>
      <c r="BA13" s="2"/>
      <c r="BB13" s="2"/>
    </row>
    <row r="14" spans="1:54" ht="38.25" customHeight="1" x14ac:dyDescent="0.2">
      <c r="A14" s="53" t="s">
        <v>103</v>
      </c>
      <c r="B14" s="63" t="s">
        <v>104</v>
      </c>
      <c r="C14" s="54" t="s">
        <v>105</v>
      </c>
      <c r="D14" s="74">
        <v>200000</v>
      </c>
      <c r="E14" s="76">
        <f t="shared" si="3"/>
        <v>91000</v>
      </c>
      <c r="F14" s="74">
        <v>20000</v>
      </c>
      <c r="G14" s="74">
        <v>20000</v>
      </c>
      <c r="H14" s="74">
        <v>20000</v>
      </c>
      <c r="I14" s="75">
        <f t="shared" si="0"/>
        <v>60000</v>
      </c>
      <c r="J14" s="74">
        <v>0</v>
      </c>
      <c r="K14" s="74">
        <v>1000</v>
      </c>
      <c r="L14" s="74">
        <v>0</v>
      </c>
      <c r="M14" s="74">
        <v>0</v>
      </c>
      <c r="N14" s="74">
        <v>0</v>
      </c>
      <c r="O14" s="74">
        <v>0</v>
      </c>
      <c r="P14" s="74">
        <v>10000</v>
      </c>
      <c r="Q14" s="74">
        <v>0</v>
      </c>
      <c r="R14" s="75">
        <f t="shared" si="1"/>
        <v>11000</v>
      </c>
      <c r="S14" s="74">
        <v>10000</v>
      </c>
      <c r="T14" s="74">
        <v>10000</v>
      </c>
      <c r="U14" s="75">
        <f t="shared" si="2"/>
        <v>31000</v>
      </c>
      <c r="V14" s="52" t="s">
        <v>83</v>
      </c>
      <c r="W14" s="55" t="s">
        <v>161</v>
      </c>
      <c r="X14" s="52" t="s">
        <v>84</v>
      </c>
      <c r="Y14" s="73" t="s">
        <v>85</v>
      </c>
      <c r="Z14" s="78" t="s">
        <v>11</v>
      </c>
      <c r="AZ14" s="2"/>
      <c r="BA14" s="2"/>
      <c r="BB14" s="2"/>
    </row>
    <row r="15" spans="1:54" s="96" customFormat="1" ht="43.5" customHeight="1" x14ac:dyDescent="0.2">
      <c r="A15" s="93" t="s">
        <v>106</v>
      </c>
      <c r="B15" s="63" t="s">
        <v>107</v>
      </c>
      <c r="C15" s="54" t="s">
        <v>108</v>
      </c>
      <c r="D15" s="74">
        <v>500000</v>
      </c>
      <c r="E15" s="76">
        <f t="shared" si="3"/>
        <v>522645.86</v>
      </c>
      <c r="F15" s="74">
        <v>50000</v>
      </c>
      <c r="G15" s="74">
        <v>30000</v>
      </c>
      <c r="H15" s="74">
        <v>30000</v>
      </c>
      <c r="I15" s="75">
        <f t="shared" si="0"/>
        <v>110000</v>
      </c>
      <c r="J15" s="74">
        <v>0</v>
      </c>
      <c r="K15" s="74">
        <v>212645.86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5">
        <f t="shared" si="1"/>
        <v>212645.86</v>
      </c>
      <c r="S15" s="74">
        <v>100000</v>
      </c>
      <c r="T15" s="74">
        <v>100000</v>
      </c>
      <c r="U15" s="75">
        <f t="shared" si="2"/>
        <v>412645.86</v>
      </c>
      <c r="V15" s="52" t="s">
        <v>83</v>
      </c>
      <c r="W15" s="55" t="s">
        <v>166</v>
      </c>
      <c r="X15" s="52" t="s">
        <v>98</v>
      </c>
      <c r="Y15" s="73" t="s">
        <v>109</v>
      </c>
      <c r="Z15" s="95" t="s">
        <v>75</v>
      </c>
      <c r="AZ15" s="97"/>
      <c r="BA15" s="97"/>
      <c r="BB15" s="97"/>
    </row>
    <row r="16" spans="1:54" ht="43.5" customHeight="1" x14ac:dyDescent="0.2">
      <c r="A16" s="93" t="s">
        <v>106</v>
      </c>
      <c r="B16" s="63" t="s">
        <v>160</v>
      </c>
      <c r="C16" s="56" t="s">
        <v>159</v>
      </c>
      <c r="D16" s="74">
        <v>300000</v>
      </c>
      <c r="E16" s="76">
        <f t="shared" si="3"/>
        <v>290000</v>
      </c>
      <c r="F16" s="74">
        <v>30000</v>
      </c>
      <c r="G16" s="74">
        <v>20000</v>
      </c>
      <c r="H16" s="74">
        <v>20000</v>
      </c>
      <c r="I16" s="75">
        <f t="shared" si="0"/>
        <v>70000</v>
      </c>
      <c r="J16" s="74">
        <v>0</v>
      </c>
      <c r="K16" s="74">
        <v>0</v>
      </c>
      <c r="L16" s="74">
        <v>0</v>
      </c>
      <c r="M16" s="74">
        <v>20000</v>
      </c>
      <c r="N16" s="74">
        <v>0</v>
      </c>
      <c r="O16" s="74">
        <v>0</v>
      </c>
      <c r="P16" s="74">
        <v>0</v>
      </c>
      <c r="Q16" s="74">
        <v>0</v>
      </c>
      <c r="R16" s="75">
        <f t="shared" si="1"/>
        <v>20000</v>
      </c>
      <c r="S16" s="74">
        <v>100000</v>
      </c>
      <c r="T16" s="74">
        <v>100000</v>
      </c>
      <c r="U16" s="75">
        <f t="shared" si="2"/>
        <v>220000</v>
      </c>
      <c r="V16" s="52" t="s">
        <v>83</v>
      </c>
      <c r="W16" s="55" t="s">
        <v>167</v>
      </c>
      <c r="X16" s="52" t="s">
        <v>84</v>
      </c>
      <c r="Y16" s="73" t="s">
        <v>95</v>
      </c>
      <c r="Z16" s="78" t="s">
        <v>75</v>
      </c>
      <c r="AZ16" s="2"/>
      <c r="BA16" s="2"/>
      <c r="BB16" s="2"/>
    </row>
    <row r="17" spans="1:54" ht="58.5" customHeight="1" x14ac:dyDescent="0.2">
      <c r="A17" s="93" t="s">
        <v>106</v>
      </c>
      <c r="B17" s="63" t="s">
        <v>110</v>
      </c>
      <c r="C17" s="57" t="s">
        <v>111</v>
      </c>
      <c r="D17" s="74">
        <v>60000</v>
      </c>
      <c r="E17" s="76">
        <f t="shared" si="3"/>
        <v>60000</v>
      </c>
      <c r="F17" s="74">
        <v>10000</v>
      </c>
      <c r="G17" s="74">
        <v>10000</v>
      </c>
      <c r="H17" s="74">
        <v>10000</v>
      </c>
      <c r="I17" s="75">
        <f t="shared" si="0"/>
        <v>30000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10000</v>
      </c>
      <c r="Q17" s="74">
        <v>0</v>
      </c>
      <c r="R17" s="75">
        <f t="shared" si="1"/>
        <v>10000</v>
      </c>
      <c r="S17" s="74">
        <v>10000</v>
      </c>
      <c r="T17" s="74">
        <v>10000</v>
      </c>
      <c r="U17" s="75">
        <f t="shared" si="2"/>
        <v>30000</v>
      </c>
      <c r="V17" s="55" t="s">
        <v>83</v>
      </c>
      <c r="W17" s="98" t="s">
        <v>168</v>
      </c>
      <c r="X17" s="55" t="s">
        <v>112</v>
      </c>
      <c r="Y17" s="73" t="s">
        <v>113</v>
      </c>
      <c r="Z17" s="78" t="s">
        <v>75</v>
      </c>
      <c r="AZ17" s="2"/>
      <c r="BA17" s="2"/>
      <c r="BB17" s="2"/>
    </row>
    <row r="18" spans="1:54" ht="60.75" customHeight="1" x14ac:dyDescent="0.2">
      <c r="A18" s="93" t="s">
        <v>106</v>
      </c>
      <c r="B18" s="63" t="s">
        <v>114</v>
      </c>
      <c r="C18" s="57" t="s">
        <v>115</v>
      </c>
      <c r="D18" s="74">
        <v>80000</v>
      </c>
      <c r="E18" s="76">
        <f t="shared" si="3"/>
        <v>85800</v>
      </c>
      <c r="F18" s="74">
        <v>11800</v>
      </c>
      <c r="G18" s="74">
        <v>7000</v>
      </c>
      <c r="H18" s="74">
        <v>7000</v>
      </c>
      <c r="I18" s="75">
        <f t="shared" si="0"/>
        <v>25800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20000</v>
      </c>
      <c r="Q18" s="74">
        <v>0</v>
      </c>
      <c r="R18" s="75">
        <f t="shared" si="1"/>
        <v>20000</v>
      </c>
      <c r="S18" s="74">
        <v>20000</v>
      </c>
      <c r="T18" s="74">
        <v>20000</v>
      </c>
      <c r="U18" s="75">
        <f t="shared" si="2"/>
        <v>60000</v>
      </c>
      <c r="V18" s="52" t="s">
        <v>83</v>
      </c>
      <c r="W18" s="58" t="s">
        <v>171</v>
      </c>
      <c r="X18" s="55" t="s">
        <v>116</v>
      </c>
      <c r="Y18" s="73" t="s">
        <v>85</v>
      </c>
      <c r="Z18" s="78" t="s">
        <v>75</v>
      </c>
      <c r="AZ18" s="2"/>
      <c r="BA18" s="2"/>
      <c r="BB18" s="2"/>
    </row>
    <row r="19" spans="1:54" s="96" customFormat="1" ht="39" customHeight="1" x14ac:dyDescent="0.2">
      <c r="A19" s="93" t="s">
        <v>117</v>
      </c>
      <c r="B19" s="63" t="s">
        <v>118</v>
      </c>
      <c r="C19" s="57" t="s">
        <v>119</v>
      </c>
      <c r="D19" s="74">
        <v>300000</v>
      </c>
      <c r="E19" s="76">
        <f t="shared" si="3"/>
        <v>120000</v>
      </c>
      <c r="F19" s="74">
        <v>0</v>
      </c>
      <c r="G19" s="74">
        <v>10000</v>
      </c>
      <c r="H19" s="74">
        <v>10000</v>
      </c>
      <c r="I19" s="75">
        <f t="shared" si="0"/>
        <v>20000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5">
        <f t="shared" si="1"/>
        <v>0</v>
      </c>
      <c r="S19" s="74">
        <v>50000</v>
      </c>
      <c r="T19" s="74">
        <v>50000</v>
      </c>
      <c r="U19" s="75">
        <f t="shared" si="2"/>
        <v>100000</v>
      </c>
      <c r="V19" s="52" t="s">
        <v>120</v>
      </c>
      <c r="W19" s="58" t="s">
        <v>121</v>
      </c>
      <c r="X19" s="59" t="s">
        <v>98</v>
      </c>
      <c r="Y19" s="94" t="s">
        <v>91</v>
      </c>
      <c r="Z19" s="95" t="s">
        <v>75</v>
      </c>
      <c r="AZ19" s="97"/>
      <c r="BA19" s="97"/>
      <c r="BB19" s="97"/>
    </row>
    <row r="20" spans="1:54" ht="30" customHeight="1" x14ac:dyDescent="0.2">
      <c r="A20" s="93" t="s">
        <v>117</v>
      </c>
      <c r="B20" s="64" t="s">
        <v>122</v>
      </c>
      <c r="C20" s="54" t="s">
        <v>123</v>
      </c>
      <c r="D20" s="74">
        <v>36000</v>
      </c>
      <c r="E20" s="76">
        <f t="shared" si="3"/>
        <v>36000</v>
      </c>
      <c r="F20" s="74">
        <v>11000</v>
      </c>
      <c r="G20" s="74">
        <v>0</v>
      </c>
      <c r="H20" s="74">
        <v>0</v>
      </c>
      <c r="I20" s="75">
        <f t="shared" si="0"/>
        <v>11000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25000</v>
      </c>
      <c r="Q20" s="74">
        <v>0</v>
      </c>
      <c r="R20" s="75">
        <f t="shared" si="1"/>
        <v>25000</v>
      </c>
      <c r="S20" s="74">
        <v>0</v>
      </c>
      <c r="T20" s="74">
        <v>0</v>
      </c>
      <c r="U20" s="75">
        <f t="shared" si="2"/>
        <v>25000</v>
      </c>
      <c r="V20" s="55" t="s">
        <v>124</v>
      </c>
      <c r="W20" s="60" t="s">
        <v>172</v>
      </c>
      <c r="X20" s="55" t="s">
        <v>112</v>
      </c>
      <c r="Y20" s="73" t="s">
        <v>113</v>
      </c>
      <c r="Z20" s="78" t="s">
        <v>75</v>
      </c>
      <c r="AZ20" s="2"/>
      <c r="BA20" s="2"/>
      <c r="BB20" s="2"/>
    </row>
    <row r="21" spans="1:54" ht="45.75" customHeight="1" x14ac:dyDescent="0.2">
      <c r="A21" s="93" t="s">
        <v>117</v>
      </c>
      <c r="B21" s="63" t="s">
        <v>125</v>
      </c>
      <c r="C21" s="54" t="s">
        <v>126</v>
      </c>
      <c r="D21" s="74">
        <v>250000</v>
      </c>
      <c r="E21" s="76">
        <f t="shared" si="3"/>
        <v>235000</v>
      </c>
      <c r="F21" s="74">
        <v>15000</v>
      </c>
      <c r="G21" s="74">
        <v>10000</v>
      </c>
      <c r="H21" s="74">
        <v>10000</v>
      </c>
      <c r="I21" s="75">
        <f t="shared" si="0"/>
        <v>35000</v>
      </c>
      <c r="J21" s="74">
        <v>0</v>
      </c>
      <c r="K21" s="74">
        <v>150000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5">
        <f t="shared" si="1"/>
        <v>150000</v>
      </c>
      <c r="S21" s="74" t="s">
        <v>127</v>
      </c>
      <c r="T21" s="74">
        <v>50000</v>
      </c>
      <c r="U21" s="75">
        <f t="shared" si="2"/>
        <v>200000</v>
      </c>
      <c r="V21" s="55" t="s">
        <v>83</v>
      </c>
      <c r="W21" s="55" t="s">
        <v>173</v>
      </c>
      <c r="X21" s="61" t="s">
        <v>116</v>
      </c>
      <c r="Y21" s="73" t="s">
        <v>128</v>
      </c>
      <c r="Z21" s="78" t="s">
        <v>75</v>
      </c>
      <c r="AZ21" s="2"/>
      <c r="BA21" s="2"/>
      <c r="BB21" s="2"/>
    </row>
    <row r="22" spans="1:54" ht="30" customHeight="1" x14ac:dyDescent="0.2">
      <c r="A22" s="93" t="s">
        <v>117</v>
      </c>
      <c r="B22" s="63" t="s">
        <v>129</v>
      </c>
      <c r="C22" s="57" t="s">
        <v>130</v>
      </c>
      <c r="D22" s="74">
        <v>222000</v>
      </c>
      <c r="E22" s="76">
        <f t="shared" si="3"/>
        <v>175000</v>
      </c>
      <c r="F22" s="74">
        <v>5000</v>
      </c>
      <c r="G22" s="74">
        <v>0</v>
      </c>
      <c r="H22" s="74">
        <v>0</v>
      </c>
      <c r="I22" s="75">
        <f t="shared" si="0"/>
        <v>5000</v>
      </c>
      <c r="J22" s="74">
        <v>0</v>
      </c>
      <c r="K22" s="74">
        <v>170000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5">
        <f t="shared" si="1"/>
        <v>170000</v>
      </c>
      <c r="S22" s="74">
        <v>0</v>
      </c>
      <c r="T22" s="74">
        <v>0</v>
      </c>
      <c r="U22" s="75">
        <f t="shared" si="2"/>
        <v>170000</v>
      </c>
      <c r="V22" s="55" t="s">
        <v>131</v>
      </c>
      <c r="W22" s="58" t="s">
        <v>174</v>
      </c>
      <c r="X22" s="62" t="s">
        <v>116</v>
      </c>
      <c r="Y22" s="73" t="s">
        <v>85</v>
      </c>
      <c r="Z22" s="78" t="s">
        <v>75</v>
      </c>
      <c r="AZ22" s="2"/>
      <c r="BA22" s="2"/>
      <c r="BB22" s="2"/>
    </row>
    <row r="23" spans="1:54" ht="49.5" customHeight="1" x14ac:dyDescent="0.2">
      <c r="A23" s="93" t="s">
        <v>132</v>
      </c>
      <c r="B23" s="63" t="s">
        <v>134</v>
      </c>
      <c r="C23" s="54" t="s">
        <v>133</v>
      </c>
      <c r="D23" s="74">
        <v>669769</v>
      </c>
      <c r="E23" s="76">
        <f t="shared" si="3"/>
        <v>661569</v>
      </c>
      <c r="F23" s="74">
        <v>21800</v>
      </c>
      <c r="G23" s="74">
        <v>0</v>
      </c>
      <c r="H23" s="74">
        <v>0</v>
      </c>
      <c r="I23" s="75">
        <f t="shared" si="0"/>
        <v>21800</v>
      </c>
      <c r="J23" s="74">
        <v>439769</v>
      </c>
      <c r="K23" s="74">
        <v>200000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5">
        <f t="shared" si="1"/>
        <v>639769</v>
      </c>
      <c r="S23" s="74">
        <v>0</v>
      </c>
      <c r="T23" s="74">
        <v>0</v>
      </c>
      <c r="U23" s="75">
        <f t="shared" si="2"/>
        <v>639769</v>
      </c>
      <c r="V23" s="55" t="s">
        <v>120</v>
      </c>
      <c r="W23" s="58" t="s">
        <v>176</v>
      </c>
      <c r="X23" s="62" t="s">
        <v>112</v>
      </c>
      <c r="Y23" s="73" t="s">
        <v>85</v>
      </c>
      <c r="Z23" s="78" t="s">
        <v>76</v>
      </c>
      <c r="AZ23" s="2"/>
      <c r="BA23" s="2"/>
      <c r="BB23" s="2"/>
    </row>
    <row r="24" spans="1:54" ht="56.25" customHeight="1" x14ac:dyDescent="0.2">
      <c r="A24" s="93" t="s">
        <v>132</v>
      </c>
      <c r="B24" s="63" t="s">
        <v>135</v>
      </c>
      <c r="C24" s="56" t="s">
        <v>137</v>
      </c>
      <c r="D24" s="74">
        <v>500000</v>
      </c>
      <c r="E24" s="76">
        <f t="shared" si="3"/>
        <v>210000</v>
      </c>
      <c r="F24" s="74">
        <v>30000</v>
      </c>
      <c r="G24" s="74">
        <v>0</v>
      </c>
      <c r="H24" s="74">
        <v>0</v>
      </c>
      <c r="I24" s="75">
        <f t="shared" si="0"/>
        <v>30000</v>
      </c>
      <c r="J24" s="74">
        <v>0</v>
      </c>
      <c r="K24" s="74">
        <v>60000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5">
        <f t="shared" si="1"/>
        <v>60000</v>
      </c>
      <c r="S24" s="74">
        <v>60000</v>
      </c>
      <c r="T24" s="74">
        <v>60000</v>
      </c>
      <c r="U24" s="75">
        <f t="shared" si="2"/>
        <v>180000</v>
      </c>
      <c r="V24" s="59" t="s">
        <v>120</v>
      </c>
      <c r="W24" s="59" t="s">
        <v>175</v>
      </c>
      <c r="X24" s="61" t="s">
        <v>112</v>
      </c>
      <c r="Y24" s="73" t="s">
        <v>85</v>
      </c>
      <c r="Z24" s="78" t="s">
        <v>76</v>
      </c>
      <c r="AZ24" s="2"/>
      <c r="BA24" s="2"/>
      <c r="BB24" s="2"/>
    </row>
    <row r="25" spans="1:54" ht="51" customHeight="1" x14ac:dyDescent="0.2">
      <c r="A25" s="93" t="s">
        <v>132</v>
      </c>
      <c r="B25" s="63" t="s">
        <v>136</v>
      </c>
      <c r="C25" s="54" t="s">
        <v>138</v>
      </c>
      <c r="D25" s="74">
        <v>200000</v>
      </c>
      <c r="E25" s="76">
        <f t="shared" si="3"/>
        <v>200000</v>
      </c>
      <c r="F25" s="74">
        <v>200000</v>
      </c>
      <c r="G25" s="74">
        <v>0</v>
      </c>
      <c r="H25" s="74">
        <v>0</v>
      </c>
      <c r="I25" s="75">
        <f t="shared" si="0"/>
        <v>200000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5">
        <f t="shared" si="1"/>
        <v>0</v>
      </c>
      <c r="S25" s="74">
        <v>0</v>
      </c>
      <c r="T25" s="74">
        <v>0</v>
      </c>
      <c r="U25" s="75">
        <f t="shared" si="2"/>
        <v>0</v>
      </c>
      <c r="V25" s="55" t="s">
        <v>83</v>
      </c>
      <c r="W25" s="55" t="s">
        <v>177</v>
      </c>
      <c r="X25" s="61" t="s">
        <v>98</v>
      </c>
      <c r="Y25" s="73" t="s">
        <v>95</v>
      </c>
      <c r="Z25" s="78" t="s">
        <v>76</v>
      </c>
      <c r="AZ25" s="2"/>
      <c r="BA25" s="2"/>
      <c r="BB25" s="2"/>
    </row>
    <row r="26" spans="1:54" ht="30" customHeight="1" x14ac:dyDescent="0.2">
      <c r="A26" s="93" t="s">
        <v>132</v>
      </c>
      <c r="B26" s="65" t="s">
        <v>139</v>
      </c>
      <c r="C26" s="54" t="s">
        <v>140</v>
      </c>
      <c r="D26" s="74">
        <v>500000</v>
      </c>
      <c r="E26" s="76">
        <f t="shared" si="3"/>
        <v>500000</v>
      </c>
      <c r="F26" s="74">
        <v>0</v>
      </c>
      <c r="G26" s="74">
        <v>50000</v>
      </c>
      <c r="H26" s="74">
        <v>50000</v>
      </c>
      <c r="I26" s="75">
        <f t="shared" si="0"/>
        <v>100000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5">
        <f t="shared" si="1"/>
        <v>0</v>
      </c>
      <c r="S26" s="74">
        <v>200000</v>
      </c>
      <c r="T26" s="74">
        <v>200000</v>
      </c>
      <c r="U26" s="75">
        <f t="shared" si="2"/>
        <v>400000</v>
      </c>
      <c r="V26" s="55" t="s">
        <v>83</v>
      </c>
      <c r="W26" s="55" t="s">
        <v>141</v>
      </c>
      <c r="X26" s="62" t="s">
        <v>112</v>
      </c>
      <c r="Y26" s="73" t="s">
        <v>142</v>
      </c>
      <c r="Z26" s="78" t="s">
        <v>76</v>
      </c>
      <c r="AZ26" s="2"/>
      <c r="BA26" s="2"/>
      <c r="BB26" s="2"/>
    </row>
    <row r="27" spans="1:54" ht="40.5" customHeight="1" x14ac:dyDescent="0.2">
      <c r="A27" s="93" t="s">
        <v>132</v>
      </c>
      <c r="B27" s="63" t="s">
        <v>143</v>
      </c>
      <c r="C27" s="56" t="s">
        <v>144</v>
      </c>
      <c r="D27" s="74">
        <v>497773</v>
      </c>
      <c r="E27" s="76">
        <f t="shared" si="3"/>
        <v>497772.99</v>
      </c>
      <c r="F27" s="74">
        <v>0</v>
      </c>
      <c r="G27" s="74">
        <v>0</v>
      </c>
      <c r="H27" s="74">
        <v>0</v>
      </c>
      <c r="I27" s="75">
        <f t="shared" si="0"/>
        <v>0</v>
      </c>
      <c r="J27" s="74">
        <v>197772.99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5">
        <f t="shared" si="1"/>
        <v>197772.99</v>
      </c>
      <c r="S27" s="74">
        <v>200000</v>
      </c>
      <c r="T27" s="74">
        <v>100000</v>
      </c>
      <c r="U27" s="75">
        <f t="shared" si="2"/>
        <v>497772.99</v>
      </c>
      <c r="V27" s="55" t="s">
        <v>83</v>
      </c>
      <c r="W27" s="55" t="s">
        <v>145</v>
      </c>
      <c r="X27" s="61" t="s">
        <v>112</v>
      </c>
      <c r="Y27" s="73" t="s">
        <v>85</v>
      </c>
      <c r="Z27" s="78" t="s">
        <v>76</v>
      </c>
      <c r="AZ27" s="2"/>
      <c r="BA27" s="2"/>
      <c r="BB27" s="2"/>
    </row>
    <row r="28" spans="1:54" ht="30" customHeight="1" x14ac:dyDescent="0.2">
      <c r="A28" s="93" t="s">
        <v>132</v>
      </c>
      <c r="B28" s="63" t="s">
        <v>146</v>
      </c>
      <c r="C28" s="54" t="s">
        <v>147</v>
      </c>
      <c r="D28" s="74">
        <v>90000</v>
      </c>
      <c r="E28" s="76">
        <f t="shared" si="3"/>
        <v>85000</v>
      </c>
      <c r="F28" s="74">
        <v>0</v>
      </c>
      <c r="G28" s="74">
        <v>5000</v>
      </c>
      <c r="H28" s="74">
        <v>0</v>
      </c>
      <c r="I28" s="75">
        <f t="shared" si="0"/>
        <v>5000</v>
      </c>
      <c r="J28" s="74">
        <v>0</v>
      </c>
      <c r="K28" s="74">
        <v>40000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5">
        <f t="shared" si="1"/>
        <v>40000</v>
      </c>
      <c r="S28" s="74">
        <v>0</v>
      </c>
      <c r="T28" s="74">
        <v>40000</v>
      </c>
      <c r="U28" s="75">
        <f t="shared" si="2"/>
        <v>80000</v>
      </c>
      <c r="V28" s="55" t="s">
        <v>83</v>
      </c>
      <c r="W28" s="55" t="s">
        <v>178</v>
      </c>
      <c r="X28" s="55" t="s">
        <v>112</v>
      </c>
      <c r="Y28" s="73" t="s">
        <v>95</v>
      </c>
      <c r="Z28" s="78" t="s">
        <v>76</v>
      </c>
      <c r="AZ28" s="2"/>
      <c r="BA28" s="2"/>
      <c r="BB28" s="2"/>
    </row>
    <row r="29" spans="1:54" ht="41.25" customHeight="1" x14ac:dyDescent="0.2">
      <c r="A29" s="93" t="s">
        <v>132</v>
      </c>
      <c r="B29" s="63" t="s">
        <v>150</v>
      </c>
      <c r="C29" s="54" t="s">
        <v>148</v>
      </c>
      <c r="D29" s="74">
        <v>7000</v>
      </c>
      <c r="E29" s="76">
        <f t="shared" si="3"/>
        <v>7000</v>
      </c>
      <c r="F29" s="74">
        <v>0</v>
      </c>
      <c r="G29" s="74">
        <v>0</v>
      </c>
      <c r="H29" s="74">
        <v>0</v>
      </c>
      <c r="I29" s="75">
        <f t="shared" si="0"/>
        <v>0</v>
      </c>
      <c r="J29" s="74">
        <v>0</v>
      </c>
      <c r="K29" s="74">
        <v>7000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5">
        <f t="shared" si="1"/>
        <v>7000</v>
      </c>
      <c r="S29" s="74">
        <v>0</v>
      </c>
      <c r="T29" s="74">
        <v>0</v>
      </c>
      <c r="U29" s="75">
        <f t="shared" si="2"/>
        <v>7000</v>
      </c>
      <c r="V29" s="55" t="s">
        <v>179</v>
      </c>
      <c r="W29" s="55" t="s">
        <v>149</v>
      </c>
      <c r="X29" s="55" t="s">
        <v>116</v>
      </c>
      <c r="Y29" s="73" t="s">
        <v>85</v>
      </c>
      <c r="Z29" s="78" t="s">
        <v>76</v>
      </c>
      <c r="AZ29" s="2"/>
      <c r="BA29" s="2"/>
      <c r="BB29" s="2"/>
    </row>
    <row r="30" spans="1:54" ht="45" customHeight="1" x14ac:dyDescent="0.2">
      <c r="A30" s="93" t="s">
        <v>132</v>
      </c>
      <c r="B30" s="63" t="s">
        <v>151</v>
      </c>
      <c r="C30" s="54" t="s">
        <v>152</v>
      </c>
      <c r="D30" s="74">
        <v>100000</v>
      </c>
      <c r="E30" s="76">
        <f t="shared" si="3"/>
        <v>134000</v>
      </c>
      <c r="F30" s="74">
        <v>44000</v>
      </c>
      <c r="G30" s="74">
        <v>0</v>
      </c>
      <c r="H30" s="74">
        <v>0</v>
      </c>
      <c r="I30" s="75">
        <f t="shared" si="0"/>
        <v>44000</v>
      </c>
      <c r="J30" s="74">
        <v>0</v>
      </c>
      <c r="K30" s="74">
        <v>90000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5">
        <f t="shared" si="1"/>
        <v>90000</v>
      </c>
      <c r="S30" s="74">
        <v>0</v>
      </c>
      <c r="T30" s="74">
        <v>0</v>
      </c>
      <c r="U30" s="75">
        <f t="shared" si="2"/>
        <v>90000</v>
      </c>
      <c r="V30" s="55" t="s">
        <v>83</v>
      </c>
      <c r="W30" s="58" t="s">
        <v>180</v>
      </c>
      <c r="X30" s="55" t="s">
        <v>116</v>
      </c>
      <c r="Y30" s="73" t="s">
        <v>95</v>
      </c>
      <c r="Z30" s="78" t="s">
        <v>76</v>
      </c>
      <c r="AZ30" s="2"/>
      <c r="BA30" s="2"/>
      <c r="BB30" s="2"/>
    </row>
    <row r="31" spans="1:54" ht="52.5" customHeight="1" x14ac:dyDescent="0.2">
      <c r="A31" s="53" t="s">
        <v>153</v>
      </c>
      <c r="B31" s="63" t="s">
        <v>154</v>
      </c>
      <c r="C31" s="54" t="s">
        <v>155</v>
      </c>
      <c r="D31" s="74"/>
      <c r="E31" s="76">
        <f t="shared" si="3"/>
        <v>480000</v>
      </c>
      <c r="F31" s="74">
        <v>10000</v>
      </c>
      <c r="G31" s="74">
        <v>10000</v>
      </c>
      <c r="H31" s="74">
        <v>10000</v>
      </c>
      <c r="I31" s="75">
        <f t="shared" si="0"/>
        <v>30000</v>
      </c>
      <c r="J31" s="74">
        <v>0</v>
      </c>
      <c r="K31" s="74">
        <v>40000</v>
      </c>
      <c r="L31" s="74">
        <v>0</v>
      </c>
      <c r="M31" s="74">
        <v>0</v>
      </c>
      <c r="N31" s="74">
        <v>0</v>
      </c>
      <c r="O31" s="74">
        <v>0</v>
      </c>
      <c r="P31" s="74">
        <v>110000</v>
      </c>
      <c r="Q31" s="74">
        <v>0</v>
      </c>
      <c r="R31" s="75">
        <f t="shared" si="1"/>
        <v>150000</v>
      </c>
      <c r="S31" s="74">
        <v>150000</v>
      </c>
      <c r="T31" s="74">
        <v>150000</v>
      </c>
      <c r="U31" s="75">
        <f t="shared" si="2"/>
        <v>450000</v>
      </c>
      <c r="V31" s="55" t="s">
        <v>156</v>
      </c>
      <c r="W31" s="55" t="s">
        <v>181</v>
      </c>
      <c r="X31" s="55" t="s">
        <v>116</v>
      </c>
      <c r="Y31" s="73" t="s">
        <v>113</v>
      </c>
      <c r="Z31" s="78" t="s">
        <v>76</v>
      </c>
      <c r="AZ31" s="2"/>
      <c r="BA31" s="2"/>
      <c r="BB31" s="2"/>
    </row>
    <row r="32" spans="1:54" ht="30" customHeight="1" x14ac:dyDescent="0.2">
      <c r="A32" s="53"/>
      <c r="B32" s="63"/>
      <c r="C32" s="54"/>
      <c r="D32" s="74"/>
      <c r="E32" s="76">
        <f t="shared" si="3"/>
        <v>0</v>
      </c>
      <c r="F32" s="74"/>
      <c r="G32" s="74"/>
      <c r="H32" s="74"/>
      <c r="I32" s="75">
        <f t="shared" si="0"/>
        <v>0</v>
      </c>
      <c r="J32" s="74"/>
      <c r="K32" s="74"/>
      <c r="L32" s="74"/>
      <c r="M32" s="74"/>
      <c r="N32" s="74"/>
      <c r="O32" s="74"/>
      <c r="P32" s="74"/>
      <c r="Q32" s="74"/>
      <c r="R32" s="75">
        <f t="shared" si="1"/>
        <v>0</v>
      </c>
      <c r="S32" s="74"/>
      <c r="T32" s="74"/>
      <c r="U32" s="75">
        <f t="shared" si="2"/>
        <v>0</v>
      </c>
      <c r="V32" s="55"/>
      <c r="W32" s="55"/>
      <c r="X32" s="55"/>
      <c r="Y32" s="73"/>
      <c r="Z32" s="78"/>
      <c r="AZ32" s="2"/>
      <c r="BA32" s="2"/>
      <c r="BB32" s="2"/>
    </row>
    <row r="33" spans="1:54" ht="30" customHeight="1" x14ac:dyDescent="0.2">
      <c r="A33" s="53"/>
      <c r="B33" s="63"/>
      <c r="C33" s="54"/>
      <c r="D33" s="74"/>
      <c r="E33" s="76">
        <f t="shared" si="3"/>
        <v>0</v>
      </c>
      <c r="F33" s="74"/>
      <c r="G33" s="74"/>
      <c r="H33" s="74"/>
      <c r="I33" s="75">
        <f t="shared" si="0"/>
        <v>0</v>
      </c>
      <c r="J33" s="74"/>
      <c r="K33" s="74"/>
      <c r="L33" s="74"/>
      <c r="M33" s="74"/>
      <c r="N33" s="74"/>
      <c r="O33" s="74"/>
      <c r="P33" s="74"/>
      <c r="Q33" s="74"/>
      <c r="R33" s="75">
        <f t="shared" si="1"/>
        <v>0</v>
      </c>
      <c r="S33" s="74"/>
      <c r="T33" s="74"/>
      <c r="U33" s="75">
        <f t="shared" si="2"/>
        <v>0</v>
      </c>
      <c r="V33" s="55"/>
      <c r="W33" s="55"/>
      <c r="X33" s="55"/>
      <c r="Y33" s="73"/>
      <c r="Z33" s="78"/>
      <c r="AZ33" s="2"/>
      <c r="BA33" s="2"/>
      <c r="BB33" s="2"/>
    </row>
    <row r="34" spans="1:54" ht="30" customHeight="1" x14ac:dyDescent="0.2">
      <c r="A34" s="53"/>
      <c r="B34" s="63"/>
      <c r="C34" s="54"/>
      <c r="D34" s="74"/>
      <c r="E34" s="76">
        <f t="shared" si="3"/>
        <v>0</v>
      </c>
      <c r="F34" s="74"/>
      <c r="G34" s="74"/>
      <c r="H34" s="74"/>
      <c r="I34" s="75">
        <f t="shared" si="0"/>
        <v>0</v>
      </c>
      <c r="J34" s="74"/>
      <c r="K34" s="74"/>
      <c r="L34" s="74"/>
      <c r="M34" s="74"/>
      <c r="N34" s="74"/>
      <c r="O34" s="74"/>
      <c r="P34" s="74"/>
      <c r="Q34" s="74"/>
      <c r="R34" s="75">
        <f t="shared" si="1"/>
        <v>0</v>
      </c>
      <c r="S34" s="74"/>
      <c r="T34" s="74"/>
      <c r="U34" s="75">
        <f t="shared" si="2"/>
        <v>0</v>
      </c>
      <c r="V34" s="55"/>
      <c r="W34" s="55"/>
      <c r="X34" s="55"/>
      <c r="Y34" s="73"/>
      <c r="Z34" s="78"/>
      <c r="AZ34" s="2"/>
      <c r="BA34" s="2"/>
      <c r="BB34" s="2"/>
    </row>
    <row r="35" spans="1:54" ht="30" customHeight="1" x14ac:dyDescent="0.2">
      <c r="A35" s="53"/>
      <c r="B35" s="63"/>
      <c r="C35" s="54"/>
      <c r="D35" s="74"/>
      <c r="E35" s="76">
        <f t="shared" si="3"/>
        <v>0</v>
      </c>
      <c r="F35" s="74"/>
      <c r="G35" s="74"/>
      <c r="H35" s="74"/>
      <c r="I35" s="75">
        <f t="shared" si="0"/>
        <v>0</v>
      </c>
      <c r="J35" s="74"/>
      <c r="K35" s="74"/>
      <c r="L35" s="74"/>
      <c r="M35" s="74"/>
      <c r="N35" s="74"/>
      <c r="O35" s="74"/>
      <c r="P35" s="74"/>
      <c r="Q35" s="74"/>
      <c r="R35" s="75">
        <f t="shared" si="1"/>
        <v>0</v>
      </c>
      <c r="S35" s="74"/>
      <c r="T35" s="74"/>
      <c r="U35" s="75">
        <f t="shared" si="2"/>
        <v>0</v>
      </c>
      <c r="V35" s="55"/>
      <c r="W35" s="55"/>
      <c r="X35" s="55"/>
      <c r="Y35" s="73"/>
      <c r="Z35" s="78"/>
      <c r="AZ35" s="2"/>
      <c r="BA35" s="2"/>
      <c r="BB35" s="2"/>
    </row>
    <row r="36" spans="1:54" ht="30" customHeight="1" x14ac:dyDescent="0.2">
      <c r="A36" s="53"/>
      <c r="B36" s="63"/>
      <c r="C36" s="54"/>
      <c r="D36" s="74"/>
      <c r="E36" s="76">
        <f t="shared" si="3"/>
        <v>0</v>
      </c>
      <c r="F36" s="74"/>
      <c r="G36" s="74"/>
      <c r="H36" s="74"/>
      <c r="I36" s="75">
        <f t="shared" si="0"/>
        <v>0</v>
      </c>
      <c r="J36" s="74"/>
      <c r="K36" s="74"/>
      <c r="L36" s="74"/>
      <c r="M36" s="74"/>
      <c r="N36" s="74"/>
      <c r="O36" s="74"/>
      <c r="P36" s="74"/>
      <c r="Q36" s="74"/>
      <c r="R36" s="75">
        <f t="shared" si="1"/>
        <v>0</v>
      </c>
      <c r="S36" s="74"/>
      <c r="T36" s="74"/>
      <c r="U36" s="75">
        <f t="shared" si="2"/>
        <v>0</v>
      </c>
      <c r="V36" s="55"/>
      <c r="W36" s="58"/>
      <c r="X36" s="55"/>
      <c r="Y36" s="73"/>
      <c r="Z36" s="78"/>
      <c r="AZ36" s="2"/>
      <c r="BA36" s="2"/>
      <c r="BB36" s="2"/>
    </row>
    <row r="37" spans="1:54" ht="30" customHeight="1" x14ac:dyDescent="0.2">
      <c r="A37" s="53"/>
      <c r="B37" s="63"/>
      <c r="C37" s="54"/>
      <c r="D37" s="74"/>
      <c r="E37" s="76">
        <f t="shared" si="3"/>
        <v>0</v>
      </c>
      <c r="F37" s="74"/>
      <c r="G37" s="74"/>
      <c r="H37" s="74"/>
      <c r="I37" s="75">
        <f t="shared" si="0"/>
        <v>0</v>
      </c>
      <c r="J37" s="74"/>
      <c r="K37" s="74"/>
      <c r="L37" s="74"/>
      <c r="M37" s="74"/>
      <c r="N37" s="74"/>
      <c r="O37" s="74"/>
      <c r="P37" s="74"/>
      <c r="Q37" s="74"/>
      <c r="R37" s="75">
        <f t="shared" si="1"/>
        <v>0</v>
      </c>
      <c r="S37" s="74"/>
      <c r="T37" s="74"/>
      <c r="U37" s="75">
        <f t="shared" si="2"/>
        <v>0</v>
      </c>
      <c r="V37" s="55"/>
      <c r="W37" s="55"/>
      <c r="X37" s="55"/>
      <c r="Y37" s="73"/>
      <c r="Z37" s="78"/>
      <c r="AZ37" s="2"/>
      <c r="BA37" s="2"/>
      <c r="BB37" s="2"/>
    </row>
    <row r="38" spans="1:54" ht="30" customHeight="1" x14ac:dyDescent="0.2">
      <c r="A38" s="53"/>
      <c r="B38" s="63"/>
      <c r="C38" s="54"/>
      <c r="D38" s="74"/>
      <c r="E38" s="76">
        <f t="shared" si="3"/>
        <v>0</v>
      </c>
      <c r="F38" s="74"/>
      <c r="G38" s="74"/>
      <c r="H38" s="74"/>
      <c r="I38" s="75">
        <f t="shared" si="0"/>
        <v>0</v>
      </c>
      <c r="J38" s="74"/>
      <c r="K38" s="74"/>
      <c r="L38" s="74"/>
      <c r="M38" s="74"/>
      <c r="N38" s="74"/>
      <c r="O38" s="74"/>
      <c r="P38" s="74"/>
      <c r="Q38" s="74"/>
      <c r="R38" s="75">
        <f t="shared" si="1"/>
        <v>0</v>
      </c>
      <c r="S38" s="74"/>
      <c r="T38" s="74"/>
      <c r="U38" s="75">
        <f t="shared" si="2"/>
        <v>0</v>
      </c>
      <c r="V38" s="55"/>
      <c r="W38" s="55"/>
      <c r="X38" s="55"/>
      <c r="Y38" s="73"/>
      <c r="Z38" s="78"/>
      <c r="AZ38" s="2"/>
      <c r="BA38" s="2"/>
      <c r="BB38" s="2"/>
    </row>
    <row r="39" spans="1:54" ht="30" customHeight="1" x14ac:dyDescent="0.2">
      <c r="A39" s="53"/>
      <c r="B39" s="63"/>
      <c r="C39" s="54"/>
      <c r="D39" s="74"/>
      <c r="E39" s="76">
        <f t="shared" si="3"/>
        <v>0</v>
      </c>
      <c r="F39" s="74"/>
      <c r="G39" s="74"/>
      <c r="H39" s="74"/>
      <c r="I39" s="75">
        <f t="shared" si="0"/>
        <v>0</v>
      </c>
      <c r="J39" s="74"/>
      <c r="K39" s="74"/>
      <c r="L39" s="74"/>
      <c r="M39" s="74"/>
      <c r="N39" s="74"/>
      <c r="O39" s="74"/>
      <c r="P39" s="74"/>
      <c r="Q39" s="74"/>
      <c r="R39" s="75">
        <f t="shared" si="1"/>
        <v>0</v>
      </c>
      <c r="S39" s="74"/>
      <c r="T39" s="74"/>
      <c r="U39" s="75">
        <f t="shared" si="2"/>
        <v>0</v>
      </c>
      <c r="V39" s="55"/>
      <c r="W39" s="55"/>
      <c r="X39" s="55"/>
      <c r="Y39" s="73"/>
      <c r="Z39" s="78"/>
      <c r="AZ39" s="2"/>
      <c r="BA39" s="2"/>
      <c r="BB39" s="2"/>
    </row>
    <row r="40" spans="1:54" ht="30" customHeight="1" x14ac:dyDescent="0.2">
      <c r="A40" s="53"/>
      <c r="B40" s="63"/>
      <c r="C40" s="54"/>
      <c r="D40" s="74"/>
      <c r="E40" s="76">
        <f t="shared" si="3"/>
        <v>0</v>
      </c>
      <c r="F40" s="74"/>
      <c r="G40" s="74"/>
      <c r="H40" s="74"/>
      <c r="I40" s="75">
        <f t="shared" si="0"/>
        <v>0</v>
      </c>
      <c r="J40" s="74"/>
      <c r="K40" s="74"/>
      <c r="L40" s="74"/>
      <c r="M40" s="74"/>
      <c r="N40" s="74"/>
      <c r="O40" s="74"/>
      <c r="P40" s="74"/>
      <c r="Q40" s="74"/>
      <c r="R40" s="75">
        <f t="shared" si="1"/>
        <v>0</v>
      </c>
      <c r="S40" s="74"/>
      <c r="T40" s="74"/>
      <c r="U40" s="75">
        <f t="shared" si="2"/>
        <v>0</v>
      </c>
      <c r="V40" s="55"/>
      <c r="W40" s="55"/>
      <c r="X40" s="55"/>
      <c r="Y40" s="73"/>
      <c r="Z40" s="78"/>
      <c r="AZ40" s="2"/>
      <c r="BA40" s="2"/>
      <c r="BB40" s="2"/>
    </row>
    <row r="41" spans="1:54" ht="30" customHeight="1" x14ac:dyDescent="0.2">
      <c r="A41" s="53"/>
      <c r="B41" s="63"/>
      <c r="C41" s="54"/>
      <c r="D41" s="74"/>
      <c r="E41" s="76">
        <f t="shared" si="3"/>
        <v>0</v>
      </c>
      <c r="F41" s="74"/>
      <c r="G41" s="74"/>
      <c r="H41" s="74"/>
      <c r="I41" s="75">
        <f t="shared" si="0"/>
        <v>0</v>
      </c>
      <c r="J41" s="74"/>
      <c r="K41" s="74"/>
      <c r="L41" s="74"/>
      <c r="M41" s="74"/>
      <c r="N41" s="74"/>
      <c r="O41" s="74"/>
      <c r="P41" s="74"/>
      <c r="Q41" s="74"/>
      <c r="R41" s="75">
        <f t="shared" si="1"/>
        <v>0</v>
      </c>
      <c r="S41" s="74"/>
      <c r="T41" s="74"/>
      <c r="U41" s="75">
        <f t="shared" si="2"/>
        <v>0</v>
      </c>
      <c r="V41" s="55"/>
      <c r="W41" s="55"/>
      <c r="X41" s="55"/>
      <c r="Y41" s="73"/>
      <c r="Z41" s="78"/>
      <c r="AZ41" s="2"/>
      <c r="BA41" s="2"/>
      <c r="BB41" s="2"/>
    </row>
    <row r="42" spans="1:54" ht="30" customHeight="1" x14ac:dyDescent="0.2">
      <c r="A42" s="53"/>
      <c r="B42" s="63"/>
      <c r="C42" s="54"/>
      <c r="D42" s="74"/>
      <c r="E42" s="76">
        <f t="shared" si="3"/>
        <v>0</v>
      </c>
      <c r="F42" s="74"/>
      <c r="G42" s="74"/>
      <c r="H42" s="74"/>
      <c r="I42" s="75">
        <f t="shared" si="0"/>
        <v>0</v>
      </c>
      <c r="J42" s="74"/>
      <c r="K42" s="74"/>
      <c r="L42" s="74"/>
      <c r="M42" s="74"/>
      <c r="N42" s="74"/>
      <c r="O42" s="74"/>
      <c r="P42" s="74"/>
      <c r="Q42" s="74"/>
      <c r="R42" s="75">
        <f t="shared" si="1"/>
        <v>0</v>
      </c>
      <c r="S42" s="74"/>
      <c r="T42" s="74"/>
      <c r="U42" s="75">
        <f t="shared" si="2"/>
        <v>0</v>
      </c>
      <c r="V42" s="55"/>
      <c r="W42" s="55"/>
      <c r="X42" s="55"/>
      <c r="Y42" s="73"/>
      <c r="Z42" s="78"/>
      <c r="AZ42" s="2"/>
      <c r="BA42" s="2"/>
      <c r="BB42" s="2"/>
    </row>
    <row r="43" spans="1:54" ht="15" x14ac:dyDescent="0.2">
      <c r="A43" s="12"/>
      <c r="B43" s="13"/>
      <c r="C43" s="14"/>
      <c r="D43" s="23"/>
      <c r="E43" s="31">
        <f>SUM(I43+U43)</f>
        <v>0</v>
      </c>
      <c r="F43" s="22"/>
      <c r="G43" s="22"/>
      <c r="H43" s="22"/>
      <c r="I43" s="75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5">
        <f>SUM(J43:Q43)</f>
        <v>0</v>
      </c>
      <c r="S43" s="15"/>
      <c r="T43" s="22"/>
      <c r="U43" s="25">
        <f>SUM(R43:T43)</f>
        <v>0</v>
      </c>
      <c r="V43" s="16"/>
      <c r="W43" s="17"/>
      <c r="X43" s="16"/>
      <c r="Y43" s="18"/>
      <c r="Z43" s="19"/>
      <c r="AZ43" s="2"/>
      <c r="BA43" s="2"/>
      <c r="BB43" s="2"/>
    </row>
    <row r="44" spans="1:54" ht="21" customHeight="1" x14ac:dyDescent="0.2">
      <c r="A44" s="111" t="s">
        <v>17</v>
      </c>
      <c r="B44" s="111"/>
      <c r="C44" s="5"/>
      <c r="D44" s="24">
        <f t="shared" ref="D44:U44" si="4">SUM(D7:D43)</f>
        <v>5072542</v>
      </c>
      <c r="E44" s="24">
        <f t="shared" si="4"/>
        <v>5052930.8499999996</v>
      </c>
      <c r="F44" s="24">
        <f t="shared" si="4"/>
        <v>585673</v>
      </c>
      <c r="G44" s="24">
        <f t="shared" si="4"/>
        <v>217000</v>
      </c>
      <c r="H44" s="24">
        <f t="shared" si="4"/>
        <v>182000</v>
      </c>
      <c r="I44" s="24">
        <f t="shared" si="4"/>
        <v>984673</v>
      </c>
      <c r="J44" s="24">
        <f t="shared" si="4"/>
        <v>637541.99</v>
      </c>
      <c r="K44" s="24">
        <f t="shared" si="4"/>
        <v>1173215.8599999999</v>
      </c>
      <c r="L44" s="24">
        <f t="shared" si="4"/>
        <v>0</v>
      </c>
      <c r="M44" s="24">
        <f t="shared" si="4"/>
        <v>20000</v>
      </c>
      <c r="N44" s="24">
        <f t="shared" si="4"/>
        <v>0</v>
      </c>
      <c r="O44" s="24">
        <f t="shared" si="4"/>
        <v>0</v>
      </c>
      <c r="P44" s="24">
        <f t="shared" si="4"/>
        <v>185000</v>
      </c>
      <c r="Q44" s="24">
        <f t="shared" si="4"/>
        <v>0</v>
      </c>
      <c r="R44" s="24">
        <f t="shared" si="4"/>
        <v>2015757.8499999999</v>
      </c>
      <c r="S44" s="24">
        <f t="shared" si="4"/>
        <v>1072500</v>
      </c>
      <c r="T44" s="24">
        <f t="shared" si="4"/>
        <v>980000</v>
      </c>
      <c r="U44" s="24">
        <f t="shared" si="4"/>
        <v>4068257.8499999996</v>
      </c>
      <c r="V44" s="105"/>
      <c r="W44" s="105"/>
      <c r="X44" s="105"/>
      <c r="Y44" s="105"/>
      <c r="Z44" s="105"/>
      <c r="AZ44" s="2"/>
      <c r="BA44" s="2"/>
      <c r="BB44" s="2"/>
    </row>
    <row r="45" spans="1:54" x14ac:dyDescent="0.2">
      <c r="D45" s="4"/>
      <c r="F45" s="1"/>
      <c r="G45" s="4"/>
      <c r="I45" s="1"/>
      <c r="K45" s="3"/>
      <c r="L45" s="4"/>
      <c r="M45" s="4"/>
      <c r="N45" s="4"/>
      <c r="O45" s="4"/>
      <c r="P45" s="4"/>
      <c r="R45" s="4"/>
      <c r="T45" s="3"/>
      <c r="U45" s="4"/>
      <c r="AZ45" s="2"/>
      <c r="BA45" s="2"/>
      <c r="BB45" s="2"/>
    </row>
    <row r="46" spans="1:54" ht="30" customHeight="1" x14ac:dyDescent="0.25">
      <c r="A46" s="45" t="s">
        <v>73</v>
      </c>
      <c r="B46" s="46"/>
      <c r="C46" s="100" t="s">
        <v>58</v>
      </c>
      <c r="D46" s="101"/>
      <c r="E46" s="101"/>
      <c r="F46" s="44"/>
      <c r="G46" s="43"/>
      <c r="I46" s="1"/>
      <c r="Q46" s="11"/>
    </row>
    <row r="47" spans="1:54" ht="25.5" customHeight="1" x14ac:dyDescent="0.25">
      <c r="A47" s="99" t="s">
        <v>74</v>
      </c>
      <c r="B47" s="99"/>
      <c r="C47" s="102" t="s">
        <v>59</v>
      </c>
      <c r="D47" s="103"/>
      <c r="E47" s="103"/>
      <c r="F47" s="43"/>
      <c r="I47" s="1"/>
    </row>
    <row r="48" spans="1:54" ht="39.75" customHeight="1" x14ac:dyDescent="0.25">
      <c r="A48" s="99"/>
      <c r="B48" s="99"/>
      <c r="C48" s="102" t="s">
        <v>60</v>
      </c>
      <c r="D48" s="104"/>
      <c r="E48" s="104"/>
      <c r="F48" s="1"/>
      <c r="I48" s="1"/>
    </row>
    <row r="49" spans="3:9" ht="40.5" customHeight="1" x14ac:dyDescent="0.25">
      <c r="C49" s="102" t="s">
        <v>61</v>
      </c>
      <c r="D49" s="104"/>
      <c r="E49" s="104"/>
      <c r="F49" s="1"/>
      <c r="I49" s="1"/>
    </row>
    <row r="50" spans="3:9" ht="28.5" customHeight="1" x14ac:dyDescent="0.25">
      <c r="C50" s="102" t="s">
        <v>62</v>
      </c>
      <c r="D50" s="104"/>
      <c r="E50" s="104"/>
      <c r="F50" s="1"/>
      <c r="I50" s="1"/>
    </row>
    <row r="51" spans="3:9" x14ac:dyDescent="0.2">
      <c r="C51" s="42"/>
      <c r="F51" s="1"/>
      <c r="I51" s="1"/>
    </row>
    <row r="52" spans="3:9" x14ac:dyDescent="0.2">
      <c r="C52" s="42"/>
      <c r="F52" s="1"/>
      <c r="I52" s="1"/>
    </row>
    <row r="53" spans="3:9" x14ac:dyDescent="0.2">
      <c r="C53" s="42"/>
      <c r="F53" s="1"/>
      <c r="I53" s="1"/>
    </row>
    <row r="54" spans="3:9" x14ac:dyDescent="0.2">
      <c r="C54" s="42"/>
      <c r="F54" s="1"/>
      <c r="I54" s="1"/>
    </row>
    <row r="55" spans="3:9" x14ac:dyDescent="0.2">
      <c r="C55" s="42"/>
      <c r="F55" s="1"/>
      <c r="I55" s="1"/>
    </row>
    <row r="56" spans="3:9" x14ac:dyDescent="0.2">
      <c r="C56" s="42"/>
      <c r="F56" s="1"/>
      <c r="I56" s="1"/>
    </row>
    <row r="57" spans="3:9" x14ac:dyDescent="0.2">
      <c r="C57" s="42"/>
      <c r="F57" s="1"/>
      <c r="I57" s="1"/>
    </row>
    <row r="58" spans="3:9" x14ac:dyDescent="0.2">
      <c r="C58" s="42"/>
      <c r="F58" s="1"/>
      <c r="I58" s="1"/>
    </row>
    <row r="59" spans="3:9" x14ac:dyDescent="0.2">
      <c r="C59" s="42"/>
      <c r="F59" s="1"/>
      <c r="I59" s="1"/>
    </row>
    <row r="60" spans="3:9" x14ac:dyDescent="0.2">
      <c r="C60" s="42"/>
      <c r="F60" s="1"/>
      <c r="I60" s="1"/>
    </row>
    <row r="61" spans="3:9" x14ac:dyDescent="0.2">
      <c r="C61" s="42"/>
      <c r="F61" s="1"/>
      <c r="I61" s="1"/>
    </row>
    <row r="62" spans="3:9" x14ac:dyDescent="0.2">
      <c r="C62" s="42"/>
      <c r="F62" s="1"/>
      <c r="I62" s="1"/>
    </row>
    <row r="63" spans="3:9" x14ac:dyDescent="0.2">
      <c r="C63" s="42"/>
      <c r="F63" s="1"/>
      <c r="I63" s="1"/>
    </row>
    <row r="64" spans="3:9" x14ac:dyDescent="0.2">
      <c r="C64" s="42"/>
      <c r="F64" s="1"/>
      <c r="I64" s="1"/>
    </row>
    <row r="65" spans="3:9" x14ac:dyDescent="0.2">
      <c r="C65" s="42"/>
      <c r="F65" s="1"/>
      <c r="I65" s="1"/>
    </row>
    <row r="66" spans="3:9" x14ac:dyDescent="0.2">
      <c r="C66" s="42"/>
      <c r="F66" s="1"/>
      <c r="I66" s="1"/>
    </row>
    <row r="67" spans="3:9" x14ac:dyDescent="0.2">
      <c r="C67" s="42"/>
      <c r="F67" s="1"/>
      <c r="I67" s="1"/>
    </row>
    <row r="68" spans="3:9" x14ac:dyDescent="0.2">
      <c r="F68" s="1"/>
      <c r="I68" s="1"/>
    </row>
    <row r="69" spans="3:9" x14ac:dyDescent="0.2">
      <c r="F69" s="1"/>
      <c r="I69" s="1"/>
    </row>
    <row r="70" spans="3:9" x14ac:dyDescent="0.2">
      <c r="F70" s="1"/>
      <c r="I70" s="1"/>
    </row>
    <row r="71" spans="3:9" x14ac:dyDescent="0.2">
      <c r="F71" s="1"/>
      <c r="I71" s="1"/>
    </row>
    <row r="72" spans="3:9" x14ac:dyDescent="0.2">
      <c r="F72" s="1"/>
      <c r="I72" s="1"/>
    </row>
    <row r="73" spans="3:9" x14ac:dyDescent="0.2">
      <c r="F73" s="1"/>
      <c r="I73" s="1"/>
    </row>
    <row r="74" spans="3:9" x14ac:dyDescent="0.2">
      <c r="F74" s="1"/>
      <c r="I74" s="1"/>
    </row>
    <row r="75" spans="3:9" x14ac:dyDescent="0.2">
      <c r="F75" s="1"/>
      <c r="I75" s="1"/>
    </row>
    <row r="76" spans="3:9" x14ac:dyDescent="0.2">
      <c r="F76" s="1"/>
      <c r="I76" s="1"/>
    </row>
    <row r="77" spans="3:9" x14ac:dyDescent="0.2">
      <c r="F77" s="1"/>
      <c r="I77" s="1"/>
    </row>
    <row r="78" spans="3:9" x14ac:dyDescent="0.2">
      <c r="F78" s="1"/>
      <c r="I78" s="1"/>
    </row>
    <row r="79" spans="3:9" x14ac:dyDescent="0.2">
      <c r="F79" s="1"/>
      <c r="I79" s="1"/>
    </row>
    <row r="80" spans="3:9" x14ac:dyDescent="0.2">
      <c r="F80" s="1"/>
      <c r="I80" s="1"/>
    </row>
    <row r="81" spans="6:9" x14ac:dyDescent="0.2">
      <c r="F81" s="1"/>
      <c r="I81" s="1"/>
    </row>
    <row r="82" spans="6:9" x14ac:dyDescent="0.2">
      <c r="F82" s="1"/>
      <c r="I82" s="1"/>
    </row>
    <row r="83" spans="6:9" x14ac:dyDescent="0.2">
      <c r="F83" s="1"/>
      <c r="I83" s="1"/>
    </row>
    <row r="84" spans="6:9" x14ac:dyDescent="0.2">
      <c r="F84" s="1"/>
      <c r="I84" s="1"/>
    </row>
    <row r="85" spans="6:9" x14ac:dyDescent="0.2">
      <c r="F85" s="1"/>
      <c r="I85" s="1"/>
    </row>
    <row r="86" spans="6:9" x14ac:dyDescent="0.2">
      <c r="F86" s="1"/>
      <c r="I86" s="1"/>
    </row>
    <row r="87" spans="6:9" x14ac:dyDescent="0.2">
      <c r="F87" s="1"/>
      <c r="I87" s="1"/>
    </row>
    <row r="88" spans="6:9" x14ac:dyDescent="0.2">
      <c r="F88" s="1"/>
      <c r="I88" s="1"/>
    </row>
    <row r="89" spans="6:9" x14ac:dyDescent="0.2">
      <c r="F89" s="1"/>
      <c r="I89" s="1"/>
    </row>
    <row r="90" spans="6:9" x14ac:dyDescent="0.2">
      <c r="F90" s="1"/>
      <c r="I90" s="1"/>
    </row>
    <row r="91" spans="6:9" x14ac:dyDescent="0.2">
      <c r="F91" s="1"/>
      <c r="I91" s="1"/>
    </row>
    <row r="92" spans="6:9" x14ac:dyDescent="0.2">
      <c r="F92" s="1"/>
      <c r="I92" s="1"/>
    </row>
    <row r="93" spans="6:9" x14ac:dyDescent="0.2">
      <c r="F93" s="1"/>
      <c r="I93" s="1"/>
    </row>
    <row r="94" spans="6:9" x14ac:dyDescent="0.2">
      <c r="F94" s="1"/>
      <c r="I94" s="1"/>
    </row>
    <row r="95" spans="6:9" x14ac:dyDescent="0.2">
      <c r="F95" s="1"/>
      <c r="I95" s="1"/>
    </row>
    <row r="96" spans="6:9" x14ac:dyDescent="0.2">
      <c r="F96" s="1"/>
      <c r="I96" s="1"/>
    </row>
    <row r="97" spans="6:9" x14ac:dyDescent="0.2">
      <c r="F97" s="1"/>
      <c r="I97" s="1"/>
    </row>
    <row r="98" spans="6:9" x14ac:dyDescent="0.2">
      <c r="F98" s="1"/>
      <c r="I98" s="1"/>
    </row>
    <row r="99" spans="6:9" x14ac:dyDescent="0.2">
      <c r="F99" s="1"/>
      <c r="I99" s="1"/>
    </row>
    <row r="100" spans="6:9" x14ac:dyDescent="0.2">
      <c r="F100" s="1"/>
      <c r="I100" s="1"/>
    </row>
    <row r="101" spans="6:9" x14ac:dyDescent="0.2">
      <c r="F101" s="1"/>
      <c r="I101" s="1"/>
    </row>
    <row r="102" spans="6:9" x14ac:dyDescent="0.2">
      <c r="F102" s="1"/>
      <c r="I102" s="1"/>
    </row>
    <row r="103" spans="6:9" x14ac:dyDescent="0.2">
      <c r="F103" s="1"/>
      <c r="I103" s="1"/>
    </row>
    <row r="104" spans="6:9" x14ac:dyDescent="0.2">
      <c r="F104" s="1"/>
      <c r="I104" s="1"/>
    </row>
    <row r="105" spans="6:9" x14ac:dyDescent="0.2">
      <c r="F105" s="1"/>
      <c r="I105" s="1"/>
    </row>
    <row r="106" spans="6:9" x14ac:dyDescent="0.2">
      <c r="F106" s="1"/>
      <c r="I106" s="1"/>
    </row>
    <row r="107" spans="6:9" x14ac:dyDescent="0.2">
      <c r="F107" s="1"/>
      <c r="I107" s="1"/>
    </row>
    <row r="108" spans="6:9" x14ac:dyDescent="0.2">
      <c r="F108" s="1"/>
      <c r="I108" s="1"/>
    </row>
    <row r="109" spans="6:9" x14ac:dyDescent="0.2">
      <c r="F109" s="1"/>
      <c r="I109" s="1"/>
    </row>
    <row r="110" spans="6:9" x14ac:dyDescent="0.2">
      <c r="F110" s="1"/>
      <c r="I110" s="1"/>
    </row>
    <row r="111" spans="6:9" x14ac:dyDescent="0.2">
      <c r="F111" s="1"/>
      <c r="I111" s="1"/>
    </row>
    <row r="112" spans="6:9" x14ac:dyDescent="0.2">
      <c r="F112" s="1"/>
      <c r="I112" s="1"/>
    </row>
    <row r="113" spans="6:9" x14ac:dyDescent="0.2">
      <c r="F113" s="1"/>
      <c r="I113" s="1"/>
    </row>
    <row r="114" spans="6:9" x14ac:dyDescent="0.2">
      <c r="F114" s="1"/>
      <c r="I114" s="1"/>
    </row>
    <row r="115" spans="6:9" x14ac:dyDescent="0.2">
      <c r="F115" s="1"/>
      <c r="I115" s="1"/>
    </row>
    <row r="116" spans="6:9" x14ac:dyDescent="0.2">
      <c r="F116" s="1"/>
      <c r="I116" s="1"/>
    </row>
    <row r="117" spans="6:9" x14ac:dyDescent="0.2">
      <c r="F117" s="1"/>
      <c r="I117" s="1"/>
    </row>
    <row r="118" spans="6:9" x14ac:dyDescent="0.2">
      <c r="F118" s="1"/>
      <c r="I118" s="1"/>
    </row>
    <row r="119" spans="6:9" x14ac:dyDescent="0.2">
      <c r="F119" s="1"/>
      <c r="I119" s="1"/>
    </row>
    <row r="120" spans="6:9" x14ac:dyDescent="0.2">
      <c r="F120" s="1"/>
      <c r="I120" s="1"/>
    </row>
    <row r="121" spans="6:9" x14ac:dyDescent="0.2">
      <c r="F121" s="1"/>
      <c r="I121" s="1"/>
    </row>
    <row r="122" spans="6:9" x14ac:dyDescent="0.2">
      <c r="F122" s="1"/>
      <c r="I122" s="1"/>
    </row>
    <row r="123" spans="6:9" x14ac:dyDescent="0.2">
      <c r="F123" s="1"/>
      <c r="I123" s="1"/>
    </row>
    <row r="124" spans="6:9" x14ac:dyDescent="0.2">
      <c r="F124" s="1"/>
      <c r="I124" s="1"/>
    </row>
    <row r="125" spans="6:9" x14ac:dyDescent="0.2">
      <c r="F125" s="1"/>
      <c r="I125" s="1"/>
    </row>
    <row r="126" spans="6:9" x14ac:dyDescent="0.2">
      <c r="F126" s="1"/>
      <c r="I126" s="1"/>
    </row>
    <row r="127" spans="6:9" x14ac:dyDescent="0.2">
      <c r="F127" s="1"/>
      <c r="I127" s="1"/>
    </row>
    <row r="128" spans="6:9" x14ac:dyDescent="0.2">
      <c r="F128" s="1"/>
      <c r="I128" s="1"/>
    </row>
    <row r="129" spans="6:9" x14ac:dyDescent="0.2">
      <c r="F129" s="1"/>
      <c r="I129" s="1"/>
    </row>
    <row r="130" spans="6:9" x14ac:dyDescent="0.2">
      <c r="F130" s="1"/>
      <c r="I130" s="1"/>
    </row>
    <row r="131" spans="6:9" x14ac:dyDescent="0.2">
      <c r="F131" s="1"/>
      <c r="I131" s="1"/>
    </row>
    <row r="132" spans="6:9" x14ac:dyDescent="0.2">
      <c r="F132" s="1"/>
      <c r="I132" s="1"/>
    </row>
    <row r="133" spans="6:9" x14ac:dyDescent="0.2">
      <c r="F133" s="1"/>
      <c r="I133" s="1"/>
    </row>
    <row r="134" spans="6:9" x14ac:dyDescent="0.2">
      <c r="F134" s="1"/>
      <c r="I134" s="1"/>
    </row>
    <row r="135" spans="6:9" x14ac:dyDescent="0.2">
      <c r="F135" s="1"/>
      <c r="I135" s="1"/>
    </row>
    <row r="136" spans="6:9" x14ac:dyDescent="0.2">
      <c r="F136" s="1"/>
      <c r="I136" s="1"/>
    </row>
    <row r="137" spans="6:9" x14ac:dyDescent="0.2">
      <c r="F137" s="1"/>
      <c r="I137" s="1"/>
    </row>
    <row r="138" spans="6:9" x14ac:dyDescent="0.2">
      <c r="F138" s="1"/>
      <c r="I138" s="1"/>
    </row>
    <row r="139" spans="6:9" x14ac:dyDescent="0.2">
      <c r="F139" s="1"/>
      <c r="I139" s="1"/>
    </row>
    <row r="140" spans="6:9" x14ac:dyDescent="0.2">
      <c r="F140" s="1"/>
      <c r="I140" s="1"/>
    </row>
    <row r="141" spans="6:9" x14ac:dyDescent="0.2">
      <c r="F141" s="1"/>
      <c r="I141" s="1"/>
    </row>
    <row r="142" spans="6:9" x14ac:dyDescent="0.2">
      <c r="F142" s="1"/>
      <c r="I142" s="1"/>
    </row>
    <row r="143" spans="6:9" x14ac:dyDescent="0.2">
      <c r="F143" s="1"/>
      <c r="I143" s="1"/>
    </row>
    <row r="144" spans="6:9" x14ac:dyDescent="0.2">
      <c r="F144" s="1"/>
      <c r="I144" s="1"/>
    </row>
    <row r="145" spans="6:9" x14ac:dyDescent="0.2">
      <c r="F145" s="1"/>
      <c r="I145" s="1"/>
    </row>
    <row r="146" spans="6:9" x14ac:dyDescent="0.2">
      <c r="F146" s="1"/>
      <c r="I146" s="1"/>
    </row>
    <row r="147" spans="6:9" x14ac:dyDescent="0.2">
      <c r="F147" s="1"/>
      <c r="I147" s="1"/>
    </row>
    <row r="148" spans="6:9" x14ac:dyDescent="0.2">
      <c r="F148" s="1"/>
      <c r="I148" s="1"/>
    </row>
    <row r="149" spans="6:9" x14ac:dyDescent="0.2">
      <c r="F149" s="1"/>
      <c r="I149" s="1"/>
    </row>
    <row r="150" spans="6:9" x14ac:dyDescent="0.2">
      <c r="F150" s="1"/>
      <c r="I150" s="1"/>
    </row>
    <row r="151" spans="6:9" x14ac:dyDescent="0.2">
      <c r="F151" s="1"/>
      <c r="I151" s="1"/>
    </row>
    <row r="152" spans="6:9" x14ac:dyDescent="0.2">
      <c r="F152" s="1"/>
      <c r="I152" s="1"/>
    </row>
    <row r="153" spans="6:9" x14ac:dyDescent="0.2">
      <c r="F153" s="1"/>
      <c r="I153" s="1"/>
    </row>
    <row r="154" spans="6:9" x14ac:dyDescent="0.2">
      <c r="F154" s="1"/>
      <c r="I154" s="1"/>
    </row>
    <row r="155" spans="6:9" x14ac:dyDescent="0.2">
      <c r="F155" s="1"/>
      <c r="I155" s="1"/>
    </row>
    <row r="156" spans="6:9" x14ac:dyDescent="0.2">
      <c r="F156" s="1"/>
      <c r="I156" s="1"/>
    </row>
    <row r="157" spans="6:9" x14ac:dyDescent="0.2">
      <c r="F157" s="1"/>
      <c r="I157" s="1"/>
    </row>
    <row r="158" spans="6:9" x14ac:dyDescent="0.2">
      <c r="F158" s="1"/>
      <c r="I158" s="1"/>
    </row>
    <row r="159" spans="6:9" x14ac:dyDescent="0.2">
      <c r="F159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D1:Z1"/>
    <mergeCell ref="R4:R5"/>
    <mergeCell ref="S4:S5"/>
    <mergeCell ref="T4:T5"/>
    <mergeCell ref="U4:U5"/>
    <mergeCell ref="M4:M5"/>
    <mergeCell ref="N4:N5"/>
    <mergeCell ref="O4:O5"/>
    <mergeCell ref="A44:B44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C50:E50"/>
    <mergeCell ref="Y44:Z44"/>
    <mergeCell ref="V44:X44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47:B48"/>
    <mergeCell ref="C46:E46"/>
    <mergeCell ref="C47:E47"/>
    <mergeCell ref="C48:E48"/>
    <mergeCell ref="C49:E49"/>
  </mergeCells>
  <pageMargins left="0.41" right="0.26" top="0.52" bottom="0.52" header="0.3" footer="0.3"/>
  <pageSetup paperSize="9" scale="46" fitToHeight="3" orientation="landscape" r:id="rId1"/>
  <headerFooter>
    <oddFooter>&amp;RStr.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="81" zoomScaleNormal="81" workbookViewId="0">
      <selection activeCell="C27" sqref="C27"/>
    </sheetView>
  </sheetViews>
  <sheetFormatPr defaultColWidth="8.85546875" defaultRowHeight="12.75" x14ac:dyDescent="0.2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34" t="s">
        <v>33</v>
      </c>
    </row>
    <row r="3" spans="2:21" ht="13.9" customHeight="1" x14ac:dyDescent="0.2">
      <c r="B3" s="122" t="s">
        <v>12</v>
      </c>
      <c r="C3" s="116" t="s">
        <v>7</v>
      </c>
      <c r="D3" s="109" t="s">
        <v>8</v>
      </c>
      <c r="E3" s="117" t="s">
        <v>35</v>
      </c>
      <c r="F3" s="117"/>
      <c r="G3" s="117"/>
      <c r="H3" s="117"/>
      <c r="I3" s="110" t="s">
        <v>0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21" t="s">
        <v>48</v>
      </c>
    </row>
    <row r="4" spans="2:21" ht="19.149999999999999" customHeight="1" x14ac:dyDescent="0.2">
      <c r="B4" s="123"/>
      <c r="C4" s="116"/>
      <c r="D4" s="109"/>
      <c r="E4" s="118" t="s">
        <v>18</v>
      </c>
      <c r="F4" s="118"/>
      <c r="G4" s="118"/>
      <c r="H4" s="118"/>
      <c r="I4" s="109" t="s">
        <v>43</v>
      </c>
      <c r="J4" s="109"/>
      <c r="K4" s="109"/>
      <c r="L4" s="109"/>
      <c r="M4" s="109"/>
      <c r="N4" s="109"/>
      <c r="O4" s="109"/>
      <c r="P4" s="109"/>
      <c r="Q4" s="109" t="s">
        <v>29</v>
      </c>
      <c r="R4" s="109"/>
      <c r="S4" s="109"/>
      <c r="T4" s="109"/>
      <c r="U4" s="121"/>
    </row>
    <row r="5" spans="2:21" ht="13.15" customHeight="1" x14ac:dyDescent="0.2">
      <c r="B5" s="123"/>
      <c r="C5" s="116"/>
      <c r="D5" s="109"/>
      <c r="E5" s="112" t="s">
        <v>1</v>
      </c>
      <c r="F5" s="112" t="s">
        <v>2</v>
      </c>
      <c r="G5" s="112" t="s">
        <v>3</v>
      </c>
      <c r="H5" s="112" t="s">
        <v>4</v>
      </c>
      <c r="I5" s="106" t="s">
        <v>5</v>
      </c>
      <c r="J5" s="106" t="s">
        <v>23</v>
      </c>
      <c r="K5" s="106" t="s">
        <v>24</v>
      </c>
      <c r="L5" s="106" t="s">
        <v>25</v>
      </c>
      <c r="M5" s="106" t="s">
        <v>26</v>
      </c>
      <c r="N5" s="106" t="s">
        <v>27</v>
      </c>
      <c r="O5" s="106" t="s">
        <v>28</v>
      </c>
      <c r="P5" s="106" t="s">
        <v>6</v>
      </c>
      <c r="Q5" s="125" t="s">
        <v>1</v>
      </c>
      <c r="R5" s="125" t="s">
        <v>2</v>
      </c>
      <c r="S5" s="125" t="s">
        <v>3</v>
      </c>
      <c r="T5" s="125" t="s">
        <v>4</v>
      </c>
      <c r="U5" s="121"/>
    </row>
    <row r="6" spans="2:21" ht="13.15" customHeight="1" x14ac:dyDescent="0.2">
      <c r="B6" s="124"/>
      <c r="C6" s="116"/>
      <c r="D6" s="109"/>
      <c r="E6" s="112"/>
      <c r="F6" s="112"/>
      <c r="G6" s="112"/>
      <c r="H6" s="112"/>
      <c r="I6" s="106"/>
      <c r="J6" s="106"/>
      <c r="K6" s="106"/>
      <c r="L6" s="106"/>
      <c r="M6" s="106"/>
      <c r="N6" s="106"/>
      <c r="O6" s="106"/>
      <c r="P6" s="106"/>
      <c r="Q6" s="125"/>
      <c r="R6" s="125"/>
      <c r="S6" s="125"/>
      <c r="T6" s="125"/>
      <c r="U6" s="121"/>
    </row>
    <row r="7" spans="2:21" ht="40.9" customHeight="1" x14ac:dyDescent="0.25">
      <c r="B7" s="32" t="s">
        <v>13</v>
      </c>
      <c r="C7" s="29">
        <f>SUMIF('Plan 2019-2021'!$Z7:$Z43,"ES",'Plan 2019-2021'!D7:D43)</f>
        <v>760000</v>
      </c>
      <c r="D7" s="28">
        <f>SUMIF('Plan 2019-2021'!$Z7:$Z43,"ES",'Plan 2019-2021'!E7:E43)</f>
        <v>753143</v>
      </c>
      <c r="E7" s="29">
        <f>SUMIF('Plan 2019-2021'!$Z7:$Z43,"ES",'Plan 2019-2021'!F7:F43)</f>
        <v>147073</v>
      </c>
      <c r="F7" s="29">
        <f>SUMIF('Plan 2019-2021'!$Z7:$Z43,"ES",'Plan 2019-2021'!G7:G43)</f>
        <v>65000</v>
      </c>
      <c r="G7" s="29">
        <f>SUMIF('Plan 2019-2021'!$Z7:$Z43,"ES",'Plan 2019-2021'!H7:H43)</f>
        <v>35000</v>
      </c>
      <c r="H7" s="30">
        <f>SUMIF('Plan 2019-2021'!$Z7:$Z43,"ES",'Plan 2019-2021'!I7:I43)</f>
        <v>247073</v>
      </c>
      <c r="I7" s="29">
        <f>SUMIF('Plan 2019-2021'!$Z7:$Z43,"ES",'Plan 2019-2021'!J7:J43)</f>
        <v>0</v>
      </c>
      <c r="J7" s="29">
        <f>SUMIF('Plan 2019-2021'!$Z7:$Z43,"ES",'Plan 2019-2021'!K7:K43)</f>
        <v>203570</v>
      </c>
      <c r="K7" s="29">
        <f>SUMIF('Plan 2019-2021'!$Z7:$Z43,"ES",'Plan 2019-2021'!L7:L43)</f>
        <v>0</v>
      </c>
      <c r="L7" s="29">
        <f>SUMIF('Plan 2019-2021'!$Z7:$Z43,"ES",'Plan 2019-2021'!M7:M43)</f>
        <v>0</v>
      </c>
      <c r="M7" s="29">
        <f>SUMIF('Plan 2019-2021'!$Z7:$Z43,"ES",'Plan 2019-2021'!N7:N43)</f>
        <v>0</v>
      </c>
      <c r="N7" s="29">
        <f>SUMIF('Plan 2019-2021'!$Z7:$Z43,"ES",'Plan 2019-2021'!O7:O43)</f>
        <v>0</v>
      </c>
      <c r="O7" s="29">
        <f>SUMIF('Plan 2019-2021'!$Z7:$Z43,"ES",'Plan 2019-2021'!P7:P43)</f>
        <v>20000</v>
      </c>
      <c r="P7" s="29">
        <f>SUMIF('Plan 2019-2021'!$Z7:$Z43,"ES",'Plan 2019-2021'!Q7:Q43)</f>
        <v>0</v>
      </c>
      <c r="Q7" s="30">
        <f>SUMIF('Plan 2019-2021'!$Z7:$Z43,"ES",'Plan 2019-2021'!R7:R43)</f>
        <v>223570</v>
      </c>
      <c r="R7" s="29">
        <f>SUMIF('Plan 2019-2021'!$Z7:$Z43,"ES",'Plan 2019-2021'!S7:S43)</f>
        <v>182500</v>
      </c>
      <c r="S7" s="29">
        <f>SUMIF('Plan 2019-2021'!$Z7:$Z43,"ES",'Plan 2019-2021'!T7:T43)</f>
        <v>100000</v>
      </c>
      <c r="T7" s="30">
        <f>SUMIF('Plan 2019-2021'!$Z7:$Z43,"ES",'Plan 2019-2021'!U7:U43)</f>
        <v>506070</v>
      </c>
      <c r="U7" s="81">
        <f>COUNTIF('Plan 2019-2021'!$Z7:$Z43,"ES")</f>
        <v>8</v>
      </c>
    </row>
    <row r="8" spans="2:21" ht="40.9" customHeight="1" x14ac:dyDescent="0.25">
      <c r="B8" s="32" t="s">
        <v>14</v>
      </c>
      <c r="C8" s="29">
        <f>SUMIF('Plan 2019-2021'!$Z7:$Z43,"DS",'Plan 2019-2021'!D7:D43)</f>
        <v>1748000</v>
      </c>
      <c r="D8" s="28">
        <f>SUMIF('Plan 2019-2021'!$Z7:$Z43,"DS",'Plan 2019-2021'!E7:E43)</f>
        <v>1524445.8599999999</v>
      </c>
      <c r="E8" s="29">
        <f>SUMIF('Plan 2019-2021'!$Z7:$Z43,"DS",'Plan 2019-2021'!F7:F43)</f>
        <v>132800</v>
      </c>
      <c r="F8" s="29">
        <f>SUMIF('Plan 2019-2021'!$Z7:$Z43,"DS",'Plan 2019-2021'!G7:G43)</f>
        <v>87000</v>
      </c>
      <c r="G8" s="29">
        <f>SUMIF('Plan 2019-2021'!$Z7:$Z43,"DS",'Plan 2019-2021'!H7:H43)</f>
        <v>87000</v>
      </c>
      <c r="H8" s="30">
        <f>SUMIF('Plan 2019-2021'!$Z7:$Z43,"DS",'Plan 2019-2021'!I7:I43)</f>
        <v>306800</v>
      </c>
      <c r="I8" s="29">
        <f>SUMIF('Plan 2019-2021'!$Z7:$Z43,"DS",'Plan 2019-2021'!J7:J43)</f>
        <v>0</v>
      </c>
      <c r="J8" s="29">
        <f>SUMIF('Plan 2019-2021'!$Z7:$Z43,"DS",'Plan 2019-2021'!K7:K43)</f>
        <v>532645.86</v>
      </c>
      <c r="K8" s="29">
        <f>SUMIF('Plan 2019-2021'!$Z7:$Z43,"DS",'Plan 2019-2021'!L7:L43)</f>
        <v>0</v>
      </c>
      <c r="L8" s="29">
        <f>SUMIF('Plan 2019-2021'!$Z7:$Z43,"DS",'Plan 2019-2021'!M7:M43)</f>
        <v>20000</v>
      </c>
      <c r="M8" s="29">
        <f>SUMIF('Plan 2019-2021'!$Z7:$Z43,"DS",'Plan 2019-2021'!N7:N43)</f>
        <v>0</v>
      </c>
      <c r="N8" s="29">
        <f>SUMIF('Plan 2019-2021'!$Z7:$Z43,"DS",'Plan 2019-2021'!O7:O43)</f>
        <v>0</v>
      </c>
      <c r="O8" s="29">
        <f>SUMIF('Plan 2019-2021'!$Z7:$Z43,"DS",'Plan 2019-2021'!P7:P43)</f>
        <v>55000</v>
      </c>
      <c r="P8" s="29">
        <f>SUMIF('Plan 2019-2021'!$Z7:$Z43,"DS",'Plan 2019-2021'!Q7:Q43)</f>
        <v>0</v>
      </c>
      <c r="Q8" s="30">
        <f>SUMIF('Plan 2019-2021'!$Z7:$Z43,"DS",'Plan 2019-2021'!R7:R43)</f>
        <v>607645.86</v>
      </c>
      <c r="R8" s="29">
        <f>SUMIF('Plan 2019-2021'!$Z7:$Z43,"DS",'Plan 2019-2021'!S7:S43)</f>
        <v>280000</v>
      </c>
      <c r="S8" s="29">
        <f>SUMIF('Plan 2019-2021'!$Z7:$Z43,"DS",'Plan 2019-2021'!T7:T43)</f>
        <v>330000</v>
      </c>
      <c r="T8" s="30">
        <f>SUMIF('Plan 2019-2021'!$Z7:$Z43,"DS",'Plan 2019-2021'!U7:U43)</f>
        <v>1217645.8599999999</v>
      </c>
      <c r="U8" s="81">
        <f>COUNTIF('Plan 2019-2021'!$Z7:$Z43,"DS")</f>
        <v>8</v>
      </c>
    </row>
    <row r="9" spans="2:21" ht="48.75" customHeight="1" x14ac:dyDescent="0.25">
      <c r="B9" s="32" t="s">
        <v>64</v>
      </c>
      <c r="C9" s="29">
        <f>SUMIF('Plan 2019-2021'!$Z7:$Z43,"SO",'Plan 2019-2021'!D7:D43)</f>
        <v>2564542</v>
      </c>
      <c r="D9" s="28">
        <f>SUMIF('Plan 2019-2021'!$Z7:$Z43,"SO",'Plan 2019-2021'!E7:E43)</f>
        <v>2775341.99</v>
      </c>
      <c r="E9" s="29">
        <f>SUMIF('Plan 2019-2021'!$Z7:$Z43,"SO",'Plan 2019-2021'!F7:F43)</f>
        <v>305800</v>
      </c>
      <c r="F9" s="29">
        <f>SUMIF('Plan 2019-2021'!$Z7:$Z43,"SO",'Plan 2019-2021'!G7:G43)</f>
        <v>65000</v>
      </c>
      <c r="G9" s="29">
        <f>SUMIF('Plan 2019-2021'!$Z7:$Z43,"SO",'Plan 2019-2021'!H7:H43)</f>
        <v>60000</v>
      </c>
      <c r="H9" s="30">
        <f>SUMIF('Plan 2019-2021'!$Z7:$Z43,"SO",'Plan 2019-2021'!I7:I43)</f>
        <v>430800</v>
      </c>
      <c r="I9" s="29">
        <f>SUMIF('Plan 2019-2021'!$Z7:$Z43,"SO",'Plan 2019-2021'!J7:J43)</f>
        <v>637541.99</v>
      </c>
      <c r="J9" s="29">
        <f>SUMIF('Plan 2019-2021'!$Z7:$Z43,"SO",'Plan 2019-2021'!K7:K43)</f>
        <v>437000</v>
      </c>
      <c r="K9" s="29">
        <f>SUMIF('Plan 2019-2021'!$Z7:$Z43,"SO",'Plan 2019-2021'!L7:L43)</f>
        <v>0</v>
      </c>
      <c r="L9" s="29">
        <f>SUMIF('Plan 2019-2021'!$Z7:$Z43,"SO",'Plan 2019-2021'!M7:M43)</f>
        <v>0</v>
      </c>
      <c r="M9" s="29">
        <f>SUMIF('Plan 2019-2021'!$Z7:$Z43,"SO",'Plan 2019-2021'!N7:N43)</f>
        <v>0</v>
      </c>
      <c r="N9" s="29">
        <f>SUMIF('Plan 2019-2021'!$Z7:$Z43,"SO",'Plan 2019-2021'!O7:O43)</f>
        <v>0</v>
      </c>
      <c r="O9" s="29">
        <f>SUMIF('Plan 2019-2021'!$Z7:$Z43,"SO",'Plan 2019-2021'!P7:P43)</f>
        <v>110000</v>
      </c>
      <c r="P9" s="29">
        <f>SUMIF('Plan 2019-2021'!$Z7:$Z43,"SO",'Plan 2019-2021'!Q7:Q43)</f>
        <v>0</v>
      </c>
      <c r="Q9" s="30">
        <f>SUMIF('Plan 2019-2021'!$Z7:$Z43,"SO",'Plan 2019-2021'!R7:R43)</f>
        <v>1184541.99</v>
      </c>
      <c r="R9" s="29">
        <f>SUMIF('Plan 2019-2021'!$Z7:$Z43,"SO",'Plan 2019-2021'!S7:S43)</f>
        <v>610000</v>
      </c>
      <c r="S9" s="29">
        <f>SUMIF('Plan 2019-2021'!$Z7:$Z43,"SO",'Plan 2019-2021'!T7:T43)</f>
        <v>550000</v>
      </c>
      <c r="T9" s="30">
        <f>SUMIF('Plan 2019-2021'!$Z7:$Z43,"SO",'Plan 2019-2021'!U7:U43)</f>
        <v>2344541.9900000002</v>
      </c>
      <c r="U9" s="81">
        <f>COUNTIF('Plan 2019-2021'!$Z7:$Z43,"SO")</f>
        <v>9</v>
      </c>
    </row>
    <row r="10" spans="2:21" ht="40.9" customHeight="1" x14ac:dyDescent="0.3">
      <c r="B10" s="33" t="s">
        <v>15</v>
      </c>
      <c r="C10" s="30">
        <f>SUM(C7:C9)</f>
        <v>5072542</v>
      </c>
      <c r="D10" s="28">
        <f t="shared" ref="D10:T10" si="0">SUM(D7:D9)</f>
        <v>5052930.8499999996</v>
      </c>
      <c r="E10" s="30">
        <f t="shared" si="0"/>
        <v>585673</v>
      </c>
      <c r="F10" s="30">
        <f t="shared" si="0"/>
        <v>217000</v>
      </c>
      <c r="G10" s="30">
        <f t="shared" si="0"/>
        <v>182000</v>
      </c>
      <c r="H10" s="30">
        <f t="shared" si="0"/>
        <v>984673</v>
      </c>
      <c r="I10" s="30">
        <f t="shared" si="0"/>
        <v>637541.99</v>
      </c>
      <c r="J10" s="30">
        <f t="shared" si="0"/>
        <v>1173215.8599999999</v>
      </c>
      <c r="K10" s="30">
        <f t="shared" si="0"/>
        <v>0</v>
      </c>
      <c r="L10" s="30">
        <f t="shared" si="0"/>
        <v>20000</v>
      </c>
      <c r="M10" s="30">
        <f t="shared" si="0"/>
        <v>0</v>
      </c>
      <c r="N10" s="30">
        <f t="shared" si="0"/>
        <v>0</v>
      </c>
      <c r="O10" s="30">
        <f t="shared" si="0"/>
        <v>185000</v>
      </c>
      <c r="P10" s="30">
        <f t="shared" si="0"/>
        <v>0</v>
      </c>
      <c r="Q10" s="30">
        <f t="shared" si="0"/>
        <v>2015757.85</v>
      </c>
      <c r="R10" s="30">
        <f t="shared" si="0"/>
        <v>1072500</v>
      </c>
      <c r="S10" s="30">
        <f t="shared" si="0"/>
        <v>980000</v>
      </c>
      <c r="T10" s="30">
        <f t="shared" si="0"/>
        <v>4068257.85</v>
      </c>
      <c r="U10" s="82">
        <f>SUM(U7:U9)</f>
        <v>25</v>
      </c>
    </row>
    <row r="12" spans="2:21" s="9" customFormat="1" x14ac:dyDescent="0.2">
      <c r="B12" s="8" t="s">
        <v>16</v>
      </c>
    </row>
  </sheetData>
  <sheetProtection algorithmName="SHA-512" hashValue="/8Froa1W8taIiqsw6ljoPCna7/KQ3s8Ihq4vry1J9IardTg7zwUn+74sGyoT4XIbgSv6DeJefeU8L7TtHWrdng==" saltValue="nnPHfNSsEDgKy+THYBa6dQ==" spinCount="100000"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D24" sqref="D24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 x14ac:dyDescent="0.2">
      <c r="B2" s="126" t="s">
        <v>34</v>
      </c>
      <c r="C2" s="127"/>
      <c r="D2" s="127"/>
      <c r="E2" s="128"/>
    </row>
    <row r="3" spans="2:5" x14ac:dyDescent="0.2">
      <c r="B3" s="131" t="s">
        <v>12</v>
      </c>
      <c r="C3" s="109" t="s">
        <v>20</v>
      </c>
      <c r="D3" s="129" t="s">
        <v>35</v>
      </c>
      <c r="E3" s="129" t="s">
        <v>0</v>
      </c>
    </row>
    <row r="4" spans="2:5" x14ac:dyDescent="0.2">
      <c r="B4" s="131"/>
      <c r="C4" s="109"/>
      <c r="D4" s="130"/>
      <c r="E4" s="130"/>
    </row>
    <row r="5" spans="2:5" x14ac:dyDescent="0.2">
      <c r="B5" s="131"/>
      <c r="C5" s="109"/>
      <c r="D5" s="130"/>
      <c r="E5" s="130"/>
    </row>
    <row r="6" spans="2:5" ht="19.899999999999999" customHeight="1" x14ac:dyDescent="0.25">
      <c r="B6" s="21" t="s">
        <v>13</v>
      </c>
      <c r="C6" s="10">
        <f>D6+E6</f>
        <v>370643</v>
      </c>
      <c r="D6" s="10">
        <f>'Ukupno po sektorima'!$E$7</f>
        <v>147073</v>
      </c>
      <c r="E6" s="10">
        <f>'Ukupno po sektorima'!Q7</f>
        <v>223570</v>
      </c>
    </row>
    <row r="7" spans="2:5" ht="19.899999999999999" customHeight="1" x14ac:dyDescent="0.25">
      <c r="B7" s="21" t="s">
        <v>14</v>
      </c>
      <c r="C7" s="10">
        <f>D7+E7</f>
        <v>740445.86</v>
      </c>
      <c r="D7" s="10">
        <f>'Ukupno po sektorima'!$E$8</f>
        <v>132800</v>
      </c>
      <c r="E7" s="10">
        <f>'Ukupno po sektorima'!Q8</f>
        <v>607645.86</v>
      </c>
    </row>
    <row r="8" spans="2:5" ht="19.899999999999999" customHeight="1" x14ac:dyDescent="0.25">
      <c r="B8" s="21" t="s">
        <v>36</v>
      </c>
      <c r="C8" s="10">
        <f>D8+E8</f>
        <v>1490341.99</v>
      </c>
      <c r="D8" s="10">
        <f>'Ukupno po sektorima'!$E$9</f>
        <v>305800</v>
      </c>
      <c r="E8" s="10">
        <f>'Ukupno po sektorima'!Q9</f>
        <v>1184541.99</v>
      </c>
    </row>
    <row r="9" spans="2:5" ht="18" customHeight="1" x14ac:dyDescent="0.3">
      <c r="B9" s="36" t="s">
        <v>19</v>
      </c>
      <c r="C9" s="7">
        <f>SUM(C6:C8)</f>
        <v>2601430.8499999996</v>
      </c>
      <c r="D9" s="7">
        <f>SUM(D6:D8)</f>
        <v>585673</v>
      </c>
      <c r="E9" s="7">
        <f>SUM(E6:E8)</f>
        <v>2015757.85</v>
      </c>
    </row>
    <row r="10" spans="2:5" ht="13.15" customHeight="1" x14ac:dyDescent="0.2">
      <c r="B10" s="131" t="s">
        <v>12</v>
      </c>
      <c r="C10" s="109" t="s">
        <v>21</v>
      </c>
      <c r="D10" s="129" t="s">
        <v>35</v>
      </c>
      <c r="E10" s="129" t="s">
        <v>0</v>
      </c>
    </row>
    <row r="11" spans="2:5" ht="13.15" customHeight="1" x14ac:dyDescent="0.2">
      <c r="B11" s="131"/>
      <c r="C11" s="109"/>
      <c r="D11" s="130"/>
      <c r="E11" s="130"/>
    </row>
    <row r="12" spans="2:5" ht="13.15" customHeight="1" x14ac:dyDescent="0.2">
      <c r="B12" s="131"/>
      <c r="C12" s="109"/>
      <c r="D12" s="130"/>
      <c r="E12" s="130"/>
    </row>
    <row r="13" spans="2:5" ht="19.899999999999999" customHeight="1" x14ac:dyDescent="0.25">
      <c r="B13" s="21" t="s">
        <v>13</v>
      </c>
      <c r="C13" s="10">
        <f>D13+E13</f>
        <v>247500</v>
      </c>
      <c r="D13" s="10">
        <f>'Ukupno po sektorima'!$F$7</f>
        <v>65000</v>
      </c>
      <c r="E13" s="10">
        <f>'Ukupno po sektorima'!R7</f>
        <v>182500</v>
      </c>
    </row>
    <row r="14" spans="2:5" ht="19.899999999999999" customHeight="1" x14ac:dyDescent="0.25">
      <c r="B14" s="21" t="s">
        <v>14</v>
      </c>
      <c r="C14" s="10">
        <f>D14+E14</f>
        <v>367000</v>
      </c>
      <c r="D14" s="10">
        <f>'Ukupno po sektorima'!$F$8</f>
        <v>87000</v>
      </c>
      <c r="E14" s="10">
        <f>'Ukupno po sektorima'!R8</f>
        <v>280000</v>
      </c>
    </row>
    <row r="15" spans="2:5" ht="19.899999999999999" customHeight="1" x14ac:dyDescent="0.25">
      <c r="B15" s="21" t="s">
        <v>36</v>
      </c>
      <c r="C15" s="10">
        <f>D15+E15</f>
        <v>675000</v>
      </c>
      <c r="D15" s="10">
        <f>'Ukupno po sektorima'!$F$9</f>
        <v>65000</v>
      </c>
      <c r="E15" s="10">
        <f>'Ukupno po sektorima'!R9</f>
        <v>610000</v>
      </c>
    </row>
    <row r="16" spans="2:5" ht="18" customHeight="1" x14ac:dyDescent="0.3">
      <c r="B16" s="36" t="s">
        <v>19</v>
      </c>
      <c r="C16" s="7">
        <f>SUM(C13:C15)</f>
        <v>1289500</v>
      </c>
      <c r="D16" s="7">
        <f>SUM(D13:D15)</f>
        <v>217000</v>
      </c>
      <c r="E16" s="7">
        <f>SUM(E13:E15)</f>
        <v>1072500</v>
      </c>
    </row>
    <row r="17" spans="2:5" ht="13.15" customHeight="1" x14ac:dyDescent="0.2">
      <c r="B17" s="131" t="s">
        <v>12</v>
      </c>
      <c r="C17" s="109" t="s">
        <v>22</v>
      </c>
      <c r="D17" s="129" t="s">
        <v>35</v>
      </c>
      <c r="E17" s="129" t="s">
        <v>0</v>
      </c>
    </row>
    <row r="18" spans="2:5" ht="13.15" customHeight="1" x14ac:dyDescent="0.2">
      <c r="B18" s="131"/>
      <c r="C18" s="109"/>
      <c r="D18" s="130"/>
      <c r="E18" s="130"/>
    </row>
    <row r="19" spans="2:5" ht="13.15" customHeight="1" x14ac:dyDescent="0.2">
      <c r="B19" s="131"/>
      <c r="C19" s="109"/>
      <c r="D19" s="130"/>
      <c r="E19" s="130"/>
    </row>
    <row r="20" spans="2:5" ht="19.899999999999999" customHeight="1" x14ac:dyDescent="0.25">
      <c r="B20" s="21" t="s">
        <v>13</v>
      </c>
      <c r="C20" s="10">
        <f>D20+E20</f>
        <v>135000</v>
      </c>
      <c r="D20" s="10">
        <f>'Ukupno po sektorima'!$G$7</f>
        <v>35000</v>
      </c>
      <c r="E20" s="10">
        <f>'Ukupno po sektorima'!S7</f>
        <v>100000</v>
      </c>
    </row>
    <row r="21" spans="2:5" ht="19.899999999999999" customHeight="1" x14ac:dyDescent="0.25">
      <c r="B21" s="21" t="s">
        <v>14</v>
      </c>
      <c r="C21" s="10">
        <f>D21+E21</f>
        <v>417000</v>
      </c>
      <c r="D21" s="10">
        <f>'Ukupno po sektorima'!$G$8</f>
        <v>87000</v>
      </c>
      <c r="E21" s="10">
        <f>'Ukupno po sektorima'!S8</f>
        <v>330000</v>
      </c>
    </row>
    <row r="22" spans="2:5" ht="19.899999999999999" customHeight="1" x14ac:dyDescent="0.25">
      <c r="B22" s="21" t="s">
        <v>36</v>
      </c>
      <c r="C22" s="10">
        <f>D22+E22</f>
        <v>610000</v>
      </c>
      <c r="D22" s="10">
        <f>'Ukupno po sektorima'!$G$9</f>
        <v>60000</v>
      </c>
      <c r="E22" s="10">
        <f>'Ukupno po sektorima'!S9</f>
        <v>550000</v>
      </c>
    </row>
    <row r="23" spans="2:5" ht="18" customHeight="1" x14ac:dyDescent="0.3">
      <c r="B23" s="36" t="s">
        <v>19</v>
      </c>
      <c r="C23" s="7">
        <f>SUM(C20:C22)</f>
        <v>1162000</v>
      </c>
      <c r="D23" s="7">
        <f>SUM(D20:D22)</f>
        <v>182000</v>
      </c>
      <c r="E23" s="7">
        <f>SUM(E20:E22)</f>
        <v>980000</v>
      </c>
    </row>
    <row r="25" spans="2:5" ht="18" customHeight="1" x14ac:dyDescent="0.3">
      <c r="B25" s="20" t="s">
        <v>37</v>
      </c>
      <c r="C25" s="7">
        <f>C9+C16+C23</f>
        <v>5052930.8499999996</v>
      </c>
      <c r="D25" s="7">
        <f>D9+D16+D23</f>
        <v>984673</v>
      </c>
      <c r="E25" s="7">
        <f>E9+E16+E23</f>
        <v>4068257.85</v>
      </c>
    </row>
  </sheetData>
  <sheetProtection algorithmName="SHA-512" hashValue="+OBHmDN1tc2YXk7msD1WXLYZNBPXRQRLhK1x0HXFYlOKCPqG5vO6uCGbWJ1IIKKRi47lTEOovAHfvSbNNm892A==" saltValue="b39VkDn1I2KcXWivbm6wNw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zoomScale="72" zoomScaleNormal="72" zoomScaleSheetLayoutView="28" zoomScalePageLayoutView="44" workbookViewId="0">
      <selection activeCell="L72" sqref="L72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48"/>
      <c r="C1" s="48"/>
      <c r="D1" s="48"/>
    </row>
    <row r="2" spans="2:27" ht="23.45" customHeight="1" x14ac:dyDescent="0.2">
      <c r="B2" s="34" t="s">
        <v>54</v>
      </c>
      <c r="C2" s="34"/>
      <c r="D2" s="34"/>
    </row>
    <row r="3" spans="2:27" ht="13.9" customHeight="1" x14ac:dyDescent="0.2">
      <c r="B3" s="148" t="s">
        <v>49</v>
      </c>
      <c r="C3" s="141" t="s">
        <v>50</v>
      </c>
      <c r="D3" s="142"/>
      <c r="E3" s="135" t="s">
        <v>8</v>
      </c>
      <c r="F3" s="136"/>
      <c r="G3" s="117" t="s">
        <v>35</v>
      </c>
      <c r="H3" s="117"/>
      <c r="I3" s="117"/>
      <c r="J3" s="117"/>
      <c r="K3" s="110" t="s">
        <v>0</v>
      </c>
      <c r="L3" s="110"/>
      <c r="M3" s="110"/>
      <c r="N3" s="110"/>
    </row>
    <row r="4" spans="2:27" ht="27.6" customHeight="1" x14ac:dyDescent="0.2">
      <c r="B4" s="149"/>
      <c r="C4" s="143"/>
      <c r="D4" s="144"/>
      <c r="E4" s="137"/>
      <c r="F4" s="138"/>
      <c r="G4" s="118" t="s">
        <v>18</v>
      </c>
      <c r="H4" s="118"/>
      <c r="I4" s="118"/>
      <c r="J4" s="118"/>
      <c r="K4" s="109" t="s">
        <v>29</v>
      </c>
      <c r="L4" s="109"/>
      <c r="M4" s="109"/>
      <c r="N4" s="109"/>
    </row>
    <row r="5" spans="2:27" ht="13.15" customHeight="1" x14ac:dyDescent="0.2">
      <c r="B5" s="149"/>
      <c r="C5" s="145" t="s">
        <v>48</v>
      </c>
      <c r="D5" s="147" t="s">
        <v>51</v>
      </c>
      <c r="E5" s="139" t="s">
        <v>52</v>
      </c>
      <c r="F5" s="139" t="s">
        <v>53</v>
      </c>
      <c r="G5" s="112" t="s">
        <v>1</v>
      </c>
      <c r="H5" s="112" t="s">
        <v>2</v>
      </c>
      <c r="I5" s="112" t="s">
        <v>3</v>
      </c>
      <c r="J5" s="112" t="s">
        <v>4</v>
      </c>
      <c r="K5" s="125" t="s">
        <v>1</v>
      </c>
      <c r="L5" s="125" t="s">
        <v>2</v>
      </c>
      <c r="M5" s="125" t="s">
        <v>3</v>
      </c>
      <c r="N5" s="125" t="s">
        <v>4</v>
      </c>
    </row>
    <row r="6" spans="2:27" ht="13.15" customHeight="1" x14ac:dyDescent="0.2">
      <c r="B6" s="150"/>
      <c r="C6" s="146"/>
      <c r="D6" s="147"/>
      <c r="E6" s="140"/>
      <c r="F6" s="140"/>
      <c r="G6" s="112"/>
      <c r="H6" s="112"/>
      <c r="I6" s="112"/>
      <c r="J6" s="112"/>
      <c r="K6" s="125"/>
      <c r="L6" s="125"/>
      <c r="M6" s="125"/>
      <c r="N6" s="125"/>
    </row>
    <row r="7" spans="2:27" s="47" customFormat="1" ht="33.6" customHeight="1" x14ac:dyDescent="0.25">
      <c r="B7" s="79" t="s">
        <v>68</v>
      </c>
      <c r="C7" s="83">
        <f>COUNTIF('Plan 2019-2021'!$Y7:$Y43,"*A*")</f>
        <v>0</v>
      </c>
      <c r="D7" s="84">
        <f t="shared" ref="D7:D12" si="0">C7/C$13</f>
        <v>0</v>
      </c>
      <c r="E7" s="85">
        <f>SUMIF('Plan 2019-2021'!$Y7:$Y43,"*A*",'Plan 2019-2021'!E7:E43)</f>
        <v>0</v>
      </c>
      <c r="F7" s="84">
        <f t="shared" ref="F7:F12" si="1">E7/E$13</f>
        <v>0</v>
      </c>
      <c r="G7" s="86">
        <f>SUMIF('Plan 2019-2021'!$Y7:$Y43,"*A*",'Plan 2019-2021'!F7:F43)</f>
        <v>0</v>
      </c>
      <c r="H7" s="86">
        <f>SUMIF('Plan 2019-2021'!$Y7:$Y43,"*A*",'Plan 2019-2021'!G7:G43)</f>
        <v>0</v>
      </c>
      <c r="I7" s="86">
        <f>SUMIF('Plan 2019-2021'!$Y7:$Y43,"*A*",'Plan 2019-2021'!H7:H43)</f>
        <v>0</v>
      </c>
      <c r="J7" s="85">
        <f t="shared" ref="J7:J13" si="2">SUM(G7:I7)</f>
        <v>0</v>
      </c>
      <c r="K7" s="86">
        <f>SUMIF('Plan 2019-2021'!$Y7:$Y43,"*A*",'Plan 2019-2021'!R7:R43)</f>
        <v>0</v>
      </c>
      <c r="L7" s="86">
        <f>SUMIF('Plan 2019-2021'!$Y7:$Y43,"*A*",'Plan 2019-2021'!S7:S43)</f>
        <v>0</v>
      </c>
      <c r="M7" s="86">
        <f>SUMIF('Plan 2019-2021'!$Y7:$Y43,"*A*",'Plan 2019-2021'!T7:T43)</f>
        <v>0</v>
      </c>
      <c r="N7" s="85">
        <f t="shared" ref="N7:N13" si="3">SUM(K7:M7)</f>
        <v>0</v>
      </c>
    </row>
    <row r="8" spans="2:27" s="47" customFormat="1" ht="50.45" customHeight="1" x14ac:dyDescent="0.25">
      <c r="B8" s="79" t="s">
        <v>69</v>
      </c>
      <c r="C8" s="83">
        <f>COUNTIF('Plan 2019-2021'!$Y7:$Y43,"*B*")</f>
        <v>10</v>
      </c>
      <c r="D8" s="84">
        <f t="shared" si="0"/>
        <v>0.4</v>
      </c>
      <c r="E8" s="85">
        <f>SUMIF('Plan 2019-2021'!$Y7:$Y43,"*B*",'Plan 2019-2021'!E7:E43)</f>
        <v>1092000</v>
      </c>
      <c r="F8" s="84">
        <f t="shared" si="1"/>
        <v>0.21611219951684082</v>
      </c>
      <c r="G8" s="86">
        <f>SUMIF('Plan 2019-2021'!$Y7:$Y43,"*B*",'Plan 2019-2021'!F7:F43)</f>
        <v>357000</v>
      </c>
      <c r="H8" s="86">
        <f>SUMIF('Plan 2019-2021'!$Y7:$Y43,"*B*",'Plan 2019-2021'!G7:G43)</f>
        <v>40000</v>
      </c>
      <c r="I8" s="86">
        <f>SUMIF('Plan 2019-2021'!$Y7:$Y43,"*B*",'Plan 2019-2021'!H7:H43)</f>
        <v>45000</v>
      </c>
      <c r="J8" s="85">
        <f t="shared" si="2"/>
        <v>442000</v>
      </c>
      <c r="K8" s="86">
        <f>SUMIF('Plan 2019-2021'!$Y7:$Y43,"*B*",'Plan 2019-2021'!R7:R43)</f>
        <v>200000</v>
      </c>
      <c r="L8" s="86">
        <f>SUMIF('Plan 2019-2021'!$Y7:$Y43,"*B*",'Plan 2019-2021'!S7:S43)</f>
        <v>170000</v>
      </c>
      <c r="M8" s="86">
        <f>SUMIF('Plan 2019-2021'!$Y7:$Y43,"*B*",'Plan 2019-2021'!T7:T43)</f>
        <v>280000</v>
      </c>
      <c r="N8" s="85">
        <f t="shared" si="3"/>
        <v>650000</v>
      </c>
    </row>
    <row r="9" spans="2:27" s="47" customFormat="1" ht="79.150000000000006" customHeight="1" x14ac:dyDescent="0.25">
      <c r="B9" s="79" t="s">
        <v>70</v>
      </c>
      <c r="C9" s="83">
        <f>COUNTIF('Plan 2019-2021'!$Y7:$Y43,"*C*")</f>
        <v>3</v>
      </c>
      <c r="D9" s="84">
        <f t="shared" si="0"/>
        <v>0.12</v>
      </c>
      <c r="E9" s="85">
        <f>SUMIF('Plan 2019-2021'!$Y7:$Y43,"*C*",'Plan 2019-2021'!E7:E43)</f>
        <v>576000</v>
      </c>
      <c r="F9" s="84">
        <f t="shared" si="1"/>
        <v>0.11399324809679516</v>
      </c>
      <c r="G9" s="86">
        <f>SUMIF('Plan 2019-2021'!$Y7:$Y43,"*C*",'Plan 2019-2021'!F7:F43)</f>
        <v>31000</v>
      </c>
      <c r="H9" s="86">
        <f>SUMIF('Plan 2019-2021'!$Y7:$Y43,"*C*",'Plan 2019-2021'!G7:G43)</f>
        <v>20000</v>
      </c>
      <c r="I9" s="86">
        <f>SUMIF('Plan 2019-2021'!$Y7:$Y43,"*C*",'Plan 2019-2021'!H7:H43)</f>
        <v>20000</v>
      </c>
      <c r="J9" s="85">
        <f t="shared" si="2"/>
        <v>71000</v>
      </c>
      <c r="K9" s="86">
        <f>SUMIF('Plan 2019-2021'!$Y7:$Y43,"*C*",'Plan 2019-2021'!R7:R43)</f>
        <v>185000</v>
      </c>
      <c r="L9" s="86">
        <f>SUMIF('Plan 2019-2021'!$Y7:$Y43,"*C*",'Plan 2019-2021'!S7:S43)</f>
        <v>160000</v>
      </c>
      <c r="M9" s="86">
        <f>SUMIF('Plan 2019-2021'!$Y7:$Y43,"*C*",'Plan 2019-2021'!T7:T43)</f>
        <v>160000</v>
      </c>
      <c r="N9" s="85">
        <f t="shared" si="3"/>
        <v>505000</v>
      </c>
      <c r="P9" s="132"/>
      <c r="Q9" s="133"/>
      <c r="R9" s="133"/>
      <c r="S9" s="133"/>
      <c r="T9" s="133"/>
      <c r="U9" s="133"/>
      <c r="V9" s="133"/>
      <c r="W9" s="133"/>
      <c r="X9" s="133"/>
      <c r="Y9" s="51"/>
      <c r="Z9" s="51"/>
      <c r="AA9" s="51"/>
    </row>
    <row r="10" spans="2:27" s="47" customFormat="1" ht="75" customHeight="1" x14ac:dyDescent="0.25">
      <c r="B10" s="79" t="s">
        <v>71</v>
      </c>
      <c r="C10" s="83">
        <f>COUNTIF('Plan 2019-2021'!$Y7:$Y43,"*D*")</f>
        <v>2</v>
      </c>
      <c r="D10" s="84">
        <f t="shared" si="0"/>
        <v>0.08</v>
      </c>
      <c r="E10" s="85">
        <f>SUMIF('Plan 2019-2021'!$Y7:$Y43,"*D*",'Plan 2019-2021'!E7:E43)</f>
        <v>735000</v>
      </c>
      <c r="F10" s="84">
        <f t="shared" si="1"/>
        <v>0.14546013429018131</v>
      </c>
      <c r="G10" s="86">
        <f>SUMIF('Plan 2019-2021'!$Y7:$Y43,"*D*",'Plan 2019-2021'!F7:F43)</f>
        <v>15000</v>
      </c>
      <c r="H10" s="86">
        <f>SUMIF('Plan 2019-2021'!$Y7:$Y43,"*D*",'Plan 2019-2021'!G7:G43)</f>
        <v>60000</v>
      </c>
      <c r="I10" s="86">
        <f>SUMIF('Plan 2019-2021'!$Y7:$Y43,"*D*",'Plan 2019-2021'!H7:H43)</f>
        <v>60000</v>
      </c>
      <c r="J10" s="85">
        <f t="shared" si="2"/>
        <v>135000</v>
      </c>
      <c r="K10" s="86">
        <f>SUMIF('Plan 2019-2021'!$Y7:$Y43,"*D*",'Plan 2019-2021'!R7:R43)</f>
        <v>150000</v>
      </c>
      <c r="L10" s="86">
        <f>SUMIF('Plan 2019-2021'!$Y7:$Y43,"*D*",'Plan 2019-2021'!S7:S43)</f>
        <v>200000</v>
      </c>
      <c r="M10" s="86">
        <f>SUMIF('Plan 2019-2021'!$Y7:$Y43,"*D*",'Plan 2019-2021'!T7:T43)</f>
        <v>250000</v>
      </c>
      <c r="N10" s="85">
        <f t="shared" si="3"/>
        <v>600000</v>
      </c>
    </row>
    <row r="11" spans="2:27" s="47" customFormat="1" ht="48" customHeight="1" x14ac:dyDescent="0.25">
      <c r="B11" s="79" t="s">
        <v>72</v>
      </c>
      <c r="C11" s="83">
        <f>COUNTIF('Plan 2019-2021'!$Y6:$Y41,"*E*")</f>
        <v>10</v>
      </c>
      <c r="D11" s="84">
        <f t="shared" si="0"/>
        <v>0.4</v>
      </c>
      <c r="E11" s="85">
        <f>SUMIF('Plan 2019-2021'!$Y7:$Y43,"*E*",'Plan 2019-2021'!E7:E43)</f>
        <v>2649930.8499999996</v>
      </c>
      <c r="F11" s="84">
        <f t="shared" si="1"/>
        <v>0.52443441809618274</v>
      </c>
      <c r="G11" s="86">
        <f>SUMIF('Plan 2019-2021'!$Y7:$Y43,"*E*",'Plan 2019-2021'!F7:F43)</f>
        <v>182673</v>
      </c>
      <c r="H11" s="86">
        <f>SUMIF('Plan 2019-2021'!$Y7:$Y43,"*E*",'Plan 2019-2021'!G7:G43)</f>
        <v>97000</v>
      </c>
      <c r="I11" s="86">
        <f>SUMIF('Plan 2019-2021'!$Y7:$Y43,"*E*",'Plan 2019-2021'!H7:H43)</f>
        <v>57000</v>
      </c>
      <c r="J11" s="85">
        <f t="shared" si="2"/>
        <v>336673</v>
      </c>
      <c r="K11" s="86">
        <f>SUMIF('Plan 2019-2021'!$Y7:$Y43,"*E*",'Plan 2019-2021'!R7:R43)</f>
        <v>1480757.8499999999</v>
      </c>
      <c r="L11" s="86">
        <f>SUMIF('Plan 2019-2021'!$Y7:$Y43,"*E*",'Plan 2019-2021'!S7:S43)</f>
        <v>542500</v>
      </c>
      <c r="M11" s="86">
        <f>SUMIF('Plan 2019-2021'!$Y7:$Y43,"*E*",'Plan 2019-2021'!T7:T43)</f>
        <v>290000</v>
      </c>
      <c r="N11" s="85">
        <f t="shared" si="3"/>
        <v>2313257.8499999996</v>
      </c>
    </row>
    <row r="12" spans="2:27" s="47" customFormat="1" ht="30.6" customHeight="1" x14ac:dyDescent="0.25">
      <c r="B12" s="80" t="s">
        <v>55</v>
      </c>
      <c r="C12" s="87">
        <f>COUNTIF('Plan 2019-2021'!$Y7:$Y43,"&gt;0")</f>
        <v>0</v>
      </c>
      <c r="D12" s="84">
        <f t="shared" si="0"/>
        <v>0</v>
      </c>
      <c r="E12" s="88">
        <f>SUMIF('Plan 2019-2021'!$Y7:$Y43,"&gt;0",'Plan 2019-2021'!E7:E43)</f>
        <v>0</v>
      </c>
      <c r="F12" s="84">
        <f t="shared" si="1"/>
        <v>0</v>
      </c>
      <c r="G12" s="89">
        <f>SUMIF('Plan 2019-2021'!$Y7:$Y43,"&gt;0",'Plan 2019-2021'!F7:F43)</f>
        <v>0</v>
      </c>
      <c r="H12" s="89">
        <f>SUMIF('Plan 2019-2021'!$Y7:$Y43,"&gt;0",'Plan 2019-2021'!G7:G43)</f>
        <v>0</v>
      </c>
      <c r="I12" s="89">
        <f>SUMIF('Plan 2019-2021'!$Y7:$Y43,"&gt;0",'Plan 2019-2021'!H7:H43)</f>
        <v>0</v>
      </c>
      <c r="J12" s="88">
        <f t="shared" si="2"/>
        <v>0</v>
      </c>
      <c r="K12" s="89">
        <f>SUMIF('Plan 2019-2021'!$Y7:$Y43,"&gt;0",'Plan 2019-2021'!R7:R43)</f>
        <v>0</v>
      </c>
      <c r="L12" s="89">
        <f>SUMIF('Plan 2019-2021'!$Y7:$Y43,"&gt;0",'Plan 2019-2021'!S7:S43)</f>
        <v>0</v>
      </c>
      <c r="M12" s="89">
        <f>SUMIF('Plan 2019-2021'!$Y7:$Y43,"&gt;0",'Plan 2019-2021'!T7:T43)</f>
        <v>0</v>
      </c>
      <c r="N12" s="88">
        <f t="shared" si="3"/>
        <v>0</v>
      </c>
    </row>
    <row r="13" spans="2:27" ht="49.9" customHeight="1" x14ac:dyDescent="0.2">
      <c r="B13" s="50" t="s">
        <v>15</v>
      </c>
      <c r="C13" s="90">
        <f>SUM(C7:C12)</f>
        <v>25</v>
      </c>
      <c r="D13" s="91">
        <f>SUM(D7:D12)</f>
        <v>1</v>
      </c>
      <c r="E13" s="85">
        <f t="shared" ref="E13:M13" si="4">SUM(E7:E12)</f>
        <v>5052930.8499999996</v>
      </c>
      <c r="F13" s="91">
        <f>SUM(F7:F12)</f>
        <v>1</v>
      </c>
      <c r="G13" s="92">
        <f t="shared" si="4"/>
        <v>585673</v>
      </c>
      <c r="H13" s="92">
        <f t="shared" si="4"/>
        <v>217000</v>
      </c>
      <c r="I13" s="92">
        <f t="shared" si="4"/>
        <v>182000</v>
      </c>
      <c r="J13" s="85">
        <f t="shared" si="2"/>
        <v>984673</v>
      </c>
      <c r="K13" s="92">
        <f t="shared" si="4"/>
        <v>2015757.8499999999</v>
      </c>
      <c r="L13" s="92">
        <f t="shared" si="4"/>
        <v>1072500</v>
      </c>
      <c r="M13" s="92">
        <f t="shared" si="4"/>
        <v>980000</v>
      </c>
      <c r="N13" s="85">
        <f t="shared" si="3"/>
        <v>4068257.8499999996</v>
      </c>
      <c r="P13" s="132"/>
      <c r="Q13" s="133"/>
      <c r="R13" s="133"/>
      <c r="S13" s="133"/>
      <c r="T13" s="133"/>
      <c r="U13" s="133"/>
      <c r="V13" s="133"/>
      <c r="W13" s="133"/>
      <c r="X13" s="133"/>
    </row>
    <row r="15" spans="2:27" s="9" customFormat="1" ht="13.9" customHeight="1" x14ac:dyDescent="0.2">
      <c r="B15" s="134" t="s">
        <v>63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2:27" x14ac:dyDescent="0.2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14" x14ac:dyDescent="0.2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2:14" x14ac:dyDescent="0.2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23" spans="2:14" ht="18" x14ac:dyDescent="0.25">
      <c r="E23" s="49"/>
      <c r="F23" s="49"/>
    </row>
  </sheetData>
  <sheetProtection algorithmName="SHA-512" hashValue="kL5rDZEhn5U4Iyhbnues24aQzT8KdxFww3eBF7QRaDQleazyIKIofRWLVe9yFFDu1/uwH4Uyu8RpRR7pYKKtPg==" saltValue="zIHHvqWzuHZ2gyPv2qHGrQ==" spinCount="100000"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2019-2021</vt:lpstr>
      <vt:lpstr>Ukupno po sektorima</vt:lpstr>
      <vt:lpstr>Ukupno po godinama</vt:lpstr>
      <vt:lpstr>Ukupno po A-E klasama</vt:lpstr>
      <vt:lpstr>'Plan 2019-2021'!Print_Area</vt:lpstr>
    </vt:vector>
  </TitlesOfParts>
  <Company>UNDP Bosnia and Herzegovina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PC</cp:lastModifiedBy>
  <cp:lastPrinted>2014-11-06T08:51:28Z</cp:lastPrinted>
  <dcterms:created xsi:type="dcterms:W3CDTF">2013-10-16T07:47:36Z</dcterms:created>
  <dcterms:modified xsi:type="dcterms:W3CDTF">2019-02-19T10:41:55Z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